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updateLinks="never" defaultThemeVersion="124226"/>
  <xr:revisionPtr revIDLastSave="0" documentId="13_ncr:1_{BF8CC86B-622F-43A7-9EE3-E533145D3BD7}" xr6:coauthVersionLast="44" xr6:coauthVersionMax="44" xr10:uidLastSave="{00000000-0000-0000-0000-000000000000}"/>
  <workbookProtection workbookAlgorithmName="SHA-512" workbookHashValue="KnslH2VbEpZdNY6+Cllu7cg1M01a6tLzLc94cuVefqDyHkCT6B0fqT36PSbAMgBl/KxWTakh3mrsZUC9Nvqkuw==" workbookSaltValue="XNIKYNum3KBTb1c+dqVb8g==" workbookSpinCount="100000" lockStructure="1"/>
  <bookViews>
    <workbookView xWindow="-120" yWindow="-120" windowWidth="29040" windowHeight="15840" tabRatio="886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既存設備!$A$1:$AJ$67</definedName>
    <definedName name="_xlnm.Print_Area" localSheetId="1">導入予定設備!$A$1:$AJ$66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6" i="49" l="1"/>
  <c r="T45" i="49"/>
  <c r="T44" i="49"/>
  <c r="T43" i="49"/>
  <c r="T42" i="49"/>
  <c r="T41" i="49"/>
  <c r="T40" i="49"/>
  <c r="T39" i="49"/>
  <c r="T38" i="49"/>
  <c r="T37" i="49"/>
  <c r="T36" i="49"/>
  <c r="T35" i="49"/>
  <c r="T29" i="48" l="1"/>
  <c r="T28" i="48"/>
  <c r="T27" i="48"/>
  <c r="AN22" i="48" l="1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3" i="49" l="1"/>
  <c r="G63" i="49"/>
  <c r="G58" i="49"/>
  <c r="G59" i="49"/>
  <c r="G54" i="49"/>
  <c r="G64" i="49"/>
  <c r="G55" i="49"/>
  <c r="G61" i="49"/>
  <c r="G60" i="49"/>
  <c r="G56" i="49"/>
  <c r="G62" i="49"/>
  <c r="G57" i="49"/>
  <c r="T47" i="49"/>
  <c r="J35" i="49"/>
  <c r="AN35" i="49"/>
  <c r="AL46" i="49"/>
  <c r="AK46" i="49"/>
  <c r="AL28" i="49"/>
  <c r="AN28" i="49" s="1"/>
  <c r="AM35" i="48" l="1"/>
  <c r="T64" i="48"/>
  <c r="AN53" i="48"/>
  <c r="AM53" i="48"/>
  <c r="AM36" i="48"/>
  <c r="AO36" i="48" s="1"/>
  <c r="AM46" i="48"/>
  <c r="AN27" i="48"/>
  <c r="AN29" i="48" s="1"/>
  <c r="AN16" i="48"/>
  <c r="M36" i="48" l="1"/>
  <c r="AJ122" i="2" l="1"/>
  <c r="AJ120" i="2"/>
  <c r="AP36" i="48"/>
  <c r="M36" i="49"/>
  <c r="AN17" i="48"/>
  <c r="AJ123" i="2" l="1"/>
  <c r="AJ121" i="2"/>
  <c r="AL19" i="49"/>
  <c r="AN20" i="48" l="1"/>
  <c r="T64" i="49" l="1"/>
  <c r="J64" i="49"/>
  <c r="T63" i="49"/>
  <c r="J63" i="49"/>
  <c r="T62" i="49"/>
  <c r="T61" i="49"/>
  <c r="T60" i="49"/>
  <c r="T59" i="49"/>
  <c r="T58" i="49"/>
  <c r="T57" i="49"/>
  <c r="T56" i="49"/>
  <c r="J56" i="49"/>
  <c r="T55" i="49"/>
  <c r="J55" i="49"/>
  <c r="T54" i="49"/>
  <c r="J54" i="49"/>
  <c r="T53" i="49"/>
  <c r="J53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2" i="49"/>
  <c r="W62" i="49" s="1"/>
  <c r="T65" i="48"/>
  <c r="G65" i="48"/>
  <c r="J65" i="48" s="1"/>
  <c r="G64" i="48"/>
  <c r="T63" i="48"/>
  <c r="G63" i="48"/>
  <c r="T62" i="48"/>
  <c r="G62" i="48"/>
  <c r="J62" i="48" s="1"/>
  <c r="W62" i="48" s="1"/>
  <c r="T61" i="48"/>
  <c r="G61" i="48"/>
  <c r="T60" i="48"/>
  <c r="G60" i="48"/>
  <c r="T59" i="48"/>
  <c r="G59" i="48"/>
  <c r="T58" i="48"/>
  <c r="G58" i="48"/>
  <c r="J58" i="48" s="1"/>
  <c r="T57" i="48"/>
  <c r="G57" i="48"/>
  <c r="J57" i="48" s="1"/>
  <c r="T56" i="48"/>
  <c r="G56" i="48"/>
  <c r="J56" i="48" s="1"/>
  <c r="W56" i="48" s="1"/>
  <c r="T55" i="48"/>
  <c r="G55" i="48"/>
  <c r="J55" i="48" s="1"/>
  <c r="T54" i="48"/>
  <c r="G54" i="48"/>
  <c r="J54" i="48" s="1"/>
  <c r="T47" i="48"/>
  <c r="AN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M39" i="48"/>
  <c r="AN38" i="48"/>
  <c r="AM38" i="48"/>
  <c r="AN37" i="48"/>
  <c r="AM37" i="48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T66" i="48" l="1"/>
  <c r="W55" i="48"/>
  <c r="W57" i="48"/>
  <c r="AO43" i="48"/>
  <c r="AO45" i="48"/>
  <c r="AO42" i="48"/>
  <c r="AO44" i="48"/>
  <c r="M37" i="48"/>
  <c r="M37" i="49" s="1"/>
  <c r="AO37" i="48"/>
  <c r="M39" i="48"/>
  <c r="M39" i="49" s="1"/>
  <c r="AO39" i="48"/>
  <c r="M41" i="48"/>
  <c r="M41" i="49" s="1"/>
  <c r="AO41" i="48"/>
  <c r="M35" i="48"/>
  <c r="AO35" i="48"/>
  <c r="M40" i="48"/>
  <c r="M40" i="49" s="1"/>
  <c r="AO40" i="48"/>
  <c r="M46" i="48"/>
  <c r="M46" i="49" s="1"/>
  <c r="AO46" i="48"/>
  <c r="M38" i="48"/>
  <c r="M38" i="49" s="1"/>
  <c r="AO38" i="48"/>
  <c r="W65" i="48"/>
  <c r="W54" i="48"/>
  <c r="W54" i="49"/>
  <c r="W56" i="49"/>
  <c r="W63" i="49"/>
  <c r="M43" i="48"/>
  <c r="M45" i="48"/>
  <c r="M42" i="48"/>
  <c r="M44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58" i="48"/>
  <c r="J64" i="48"/>
  <c r="W64" i="48" s="1"/>
  <c r="W53" i="49"/>
  <c r="W55" i="49"/>
  <c r="W64" i="49"/>
  <c r="T65" i="49"/>
  <c r="J60" i="48"/>
  <c r="W60" i="48" s="1"/>
  <c r="J61" i="48"/>
  <c r="W61" i="48" s="1"/>
  <c r="J63" i="48"/>
  <c r="W63" i="48" s="1"/>
  <c r="J59" i="48"/>
  <c r="W59" i="48" s="1"/>
  <c r="J57" i="49"/>
  <c r="W57" i="49" s="1"/>
  <c r="J58" i="49"/>
  <c r="W58" i="49" s="1"/>
  <c r="J59" i="49"/>
  <c r="W59" i="49" s="1"/>
  <c r="J60" i="49"/>
  <c r="W60" i="49" s="1"/>
  <c r="J61" i="49"/>
  <c r="W61" i="49" s="1"/>
  <c r="AP44" i="48" l="1"/>
  <c r="AP43" i="48"/>
  <c r="AP46" i="48"/>
  <c r="AP35" i="48"/>
  <c r="AP41" i="48"/>
  <c r="AP37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38" i="48"/>
  <c r="AP40" i="48"/>
  <c r="AJ134" i="2"/>
  <c r="AJ132" i="2"/>
  <c r="AP132" i="2" s="1"/>
  <c r="AP47" i="48"/>
  <c r="B48" i="48" s="1"/>
  <c r="B48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2" i="48"/>
  <c r="AJ114" i="2"/>
  <c r="AO114" i="2" s="1"/>
  <c r="AJ112" i="2"/>
  <c r="AP112" i="2" s="1"/>
  <c r="AJ118" i="2"/>
  <c r="AP118" i="2" s="1"/>
  <c r="AJ116" i="2"/>
  <c r="AP116" i="2" s="1"/>
  <c r="M35" i="49"/>
  <c r="AP39" i="48"/>
  <c r="AP45" i="48"/>
  <c r="AO22" i="2"/>
  <c r="M43" i="49"/>
  <c r="M44" i="49"/>
  <c r="AJ105" i="2" s="1"/>
  <c r="AP105" i="2" s="1"/>
  <c r="M42" i="49"/>
  <c r="M45" i="49"/>
  <c r="AO55" i="2"/>
  <c r="AO52" i="2"/>
  <c r="AO53" i="2"/>
  <c r="AO54" i="2"/>
  <c r="AP123" i="2"/>
  <c r="AO123" i="2"/>
  <c r="AO63" i="2"/>
  <c r="AO60" i="2"/>
  <c r="AP128" i="2"/>
  <c r="AO61" i="2"/>
  <c r="AO62" i="2"/>
  <c r="AO122" i="2"/>
  <c r="AP122" i="2"/>
  <c r="AO115" i="2"/>
  <c r="AO134" i="2"/>
  <c r="AP134" i="2" s="1"/>
  <c r="AO15" i="2"/>
  <c r="AO12" i="2"/>
  <c r="AP9" i="2"/>
  <c r="AP8" i="2"/>
  <c r="AO14" i="2"/>
  <c r="AO13" i="2"/>
  <c r="AO102" i="2"/>
  <c r="AO103" i="2"/>
  <c r="AO100" i="2"/>
  <c r="AO101" i="2"/>
  <c r="AO143" i="2"/>
  <c r="W65" i="49"/>
  <c r="W66" i="48"/>
  <c r="AP146" i="2" l="1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Q46" i="48" l="1"/>
  <c r="Q45" i="49"/>
  <c r="Q42" i="48"/>
  <c r="Q42" i="49"/>
  <c r="Q46" i="49"/>
  <c r="AP46" i="49" s="1"/>
  <c r="W46" i="49" s="1"/>
  <c r="Q43" i="49"/>
  <c r="Q43" i="48"/>
  <c r="Q44" i="49"/>
  <c r="Q44" i="48"/>
  <c r="Q45" i="48"/>
  <c r="Q40" i="49"/>
  <c r="Q40" i="48"/>
  <c r="Q35" i="48"/>
  <c r="Q39" i="49"/>
  <c r="Q41" i="48"/>
  <c r="Q36" i="49"/>
  <c r="AP36" i="49" s="1"/>
  <c r="W36" i="49" s="1"/>
  <c r="Q37" i="48"/>
  <c r="Q41" i="49"/>
  <c r="Q38" i="48"/>
  <c r="Q37" i="49"/>
  <c r="Q36" i="48"/>
  <c r="AQ36" i="48" s="1"/>
  <c r="W36" i="48" s="1"/>
  <c r="Q35" i="49"/>
  <c r="Q39" i="48"/>
  <c r="Q38" i="49"/>
  <c r="AQ46" i="48"/>
  <c r="W4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<sst xmlns="http://schemas.openxmlformats.org/spreadsheetml/2006/main" count="937" uniqueCount="246">
  <si>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</si>
  <si>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</si>
  <si>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</si>
  <si>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</si>
  <si>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</si>
  <si>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</si>
  <si>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</si>
  <si>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</si>
  <si>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</si>
  <si>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</si>
  <si>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</si>
  <si>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</si>
  <si>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</si>
  <si>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</si>
  <si>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</si>
  <si>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</si>
  <si>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</si>
  <si>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</si>
  <si>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</si>
  <si>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</si>
  <si>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</si>
  <si>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</si>
  <si>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</si>
  <si>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</si>
  <si>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</si>
  <si>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</si>
  <si>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</si>
  <si>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</si>
  <si>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</si>
  <si>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</si>
  <si>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</si>
  <si>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</si>
  <si>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</si>
  <si>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</si>
  <si>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</si>
  <si>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</si>
  <si>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</si>
  <si>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</si>
  <si>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</si>
  <si>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</si>
  <si>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</si>
  <si>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</si>
  <si>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</si>
  <si>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</si>
  <si>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</si>
  <si>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</si>
  <si>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</si>
  <si>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</si>
  <si>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</si>
  <si>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</si>
  <si>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</si>
  <si>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</si>
  <si>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</si>
  <si>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</si>
  <si>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</si>
  <si>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</si>
  <si>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</si>
  <si>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</si>
  <si>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</si>
  <si>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</si>
  <si>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</si>
  <si>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</si>
  <si>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</si>
  <si>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</si>
  <si>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</si>
  <si>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</si>
  <si>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</si>
  <si>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</si>
  <si>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</si>
  <si>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</si>
  <si>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</si>
  <si>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</si>
  <si>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</si>
  <si>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</si>
  <si>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</si>
  <si>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</si>
  <si>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</si>
  <si>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</si>
  <si>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</si>
  <si>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</si>
  <si>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</si>
  <si>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</si>
  <si>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</si>
  <si>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</si>
  <si>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</si>
  <si>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</si>
  <si>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</si>
  <si>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</si>
  <si>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</si>
  <si>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</si>
  <si>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</si>
  <si>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</si>
  <si>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</si>
  <si>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</si>
  <si>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</si>
  <si>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</si>
  <si>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</si>
  <si>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</si>
  <si>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</si>
  <si>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</si>
  <si>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</si>
  <si>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</si>
  <si>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</si>
  <si>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</si>
  <si>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</si>
  <si>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</si>
  <si>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</si>
  <si>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</si>
  <si>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</si>
  <si>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</si>
  <si>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</si>
  <si>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</si>
  <si>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</si>
  <si>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</si>
  <si>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</si>
  <si>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</si>
  <si>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</si>
  <si>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</si>
  <si>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</si>
  <si>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</si>
  <si>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</si>
  <si>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</si>
  <si>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</si>
  <si>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</si>
  <si>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</si>
  <si>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</si>
  <si>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</si>
  <si>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</si>
  <si>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</si>
  <si>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</si>
  <si>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</si>
  <si>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</si>
  <si>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</si>
  <si>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</si>
  <si>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</si>
  <si>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</si>
  <si>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</si>
  <si>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</si>
  <si>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</si>
  <si>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</si>
  <si>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</si>
  <si>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</si>
  <si>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</si>
  <si>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</si>
  <si>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</si>
  <si>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</si>
  <si>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</si>
  <si>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</si>
  <si>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</si>
  <si>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</si>
  <si>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</si>
  <si>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</si>
  <si>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</si>
  <si>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</si>
  <si>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</si>
  <si>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</si>
  <si>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</si>
  <si>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</si>
  <si>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</si>
  <si>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</si>
  <si>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</si>
  <si>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</si>
  <si>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</si>
  <si>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</si>
  <si>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</si>
  <si>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</si>
  <si>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</si>
  <si>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</si>
  <si>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</si>
  <si>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</si>
  <si>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</si>
  <si>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</si>
  <si>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</si>
  <si>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</si>
  <si>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</si>
  <si>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</si>
  <si>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</si>
  <si>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</si>
  <si>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</si>
  <si>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</si>
  <si>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</si>
  <si>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</si>
  <si>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</si>
  <si>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</si>
  <si>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</si>
  <si>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</si>
  <si>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</si>
  <si>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</si>
  <si>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</si>
  <si>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</si>
  <si>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</si>
  <si>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</si>
  <si>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</si>
  <si>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</si>
  <si>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</si>
  <si>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</si>
  <si>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</si>
  <si>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</si>
  <si>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</si>
  <si>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</si>
  <si>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</si>
  <si>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</si>
  <si>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</si>
  <si>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</si>
  <si>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</si>
  <si>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</si>
  <si>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</si>
  <si>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</si>
  <si>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</si>
  <si>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</si>
  <si>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</si>
  <si>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</si>
  <si>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</si>
  <si>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</si>
  <si>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</si>
  <si>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</si>
  <si>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</si>
  <si>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</si>
  <si>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</si>
  <si>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</si>
  <si>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</si>
  <si>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</si>
  <si>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</si>
  <si>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</si>
  <si>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</si>
  <si>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</si>
  <si>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</si>
  <si>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</si>
  <si>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</si>
  <si>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</si>
  <si>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様式 1-3　NO.</t>
    <phoneticPr fontId="6"/>
  </si>
  <si>
    <t>様式 1-4　NO.</t>
    <phoneticPr fontId="6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</si>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</sst>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Fill="1" applyBorder="1" applyAlignment="1" applyProtection="1">
      <alignment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2" fillId="0" borderId="0" xfId="0" applyFont="1" applyFill="1" applyBorder="1" applyProtection="1">
      <alignment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6" fontId="12" fillId="0" borderId="28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192" fontId="12" fillId="0" borderId="0" xfId="8" applyNumberFormat="1" applyFont="1" applyFill="1" applyBorder="1" applyAlignment="1" applyProtection="1">
      <alignment vertical="center" shrinkToFit="1"/>
      <protection hidden="1"/>
    </xf>
    <xf numFmtId="192" fontId="25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32" fillId="0" borderId="0" xfId="8" applyFont="1" applyFill="1" applyBorder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Fill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Fill="1" applyBorder="1" applyAlignment="1" applyProtection="1">
      <alignment horizontal="left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Fill="1" applyBorder="1" applyAlignment="1" applyProtection="1">
      <alignment vertical="center" shrinkToFit="1"/>
      <protection hidden="1"/>
    </xf>
    <xf numFmtId="184" fontId="12" fillId="0" borderId="38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1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Fill="1" applyBorder="1" applyProtection="1">
      <alignment vertical="center"/>
      <protection hidden="1"/>
    </xf>
    <xf numFmtId="0" fontId="31" fillId="0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Border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NumberFormat="1" applyFont="1" applyProtection="1">
      <alignment vertical="center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0" fontId="35" fillId="0" borderId="0" xfId="8" applyFont="1" applyAlignment="1" applyProtection="1">
      <alignment horizontal="left" vertical="center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wrapText="1" shrinkToFit="1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8" quotePrefix="1" applyFont="1" applyFill="1" applyBorder="1" applyAlignment="1" applyProtection="1">
      <alignment horizontal="center" vertical="center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Fill="1" applyBorder="1" applyAlignment="1" applyProtection="1">
      <alignment horizontal="center" vertical="center" shrinkToFit="1"/>
      <protection hidden="1"/>
    </xf>
    <xf numFmtId="0" fontId="12" fillId="0" borderId="27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54" xfId="0" applyFont="1" applyFill="1" applyBorder="1" applyAlignment="1" applyProtection="1">
      <alignment horizontal="center" vertical="center" shrinkToFit="1"/>
      <protection locked="0" hidden="1"/>
    </xf>
    <xf numFmtId="191" fontId="12" fillId="0" borderId="14" xfId="4" applyNumberFormat="1" applyFont="1" applyBorder="1" applyAlignment="1" applyProtection="1">
      <alignment horizontal="right" vertical="center" shrinkToFit="1"/>
      <protection hidden="1"/>
    </xf>
    <xf numFmtId="191" fontId="12" fillId="0" borderId="18" xfId="4" applyNumberFormat="1" applyFont="1" applyBorder="1" applyAlignment="1" applyProtection="1">
      <alignment horizontal="right" vertical="center" shrinkToFit="1"/>
      <protection hidden="1"/>
    </xf>
    <xf numFmtId="191" fontId="12" fillId="0" borderId="5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Border="1" applyAlignment="1" applyProtection="1">
      <alignment horizontal="left" vertical="top" wrapTex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188" fontId="37" fillId="0" borderId="38" xfId="8" applyNumberFormat="1" applyFont="1" applyFill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81" fontId="12" fillId="0" borderId="4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4" borderId="26" xfId="8" applyFont="1" applyFill="1" applyBorder="1" applyAlignment="1" applyProtection="1">
      <alignment horizontal="center" vertical="center" shrinkToFit="1"/>
      <protection hidden="1"/>
    </xf>
    <xf numFmtId="0" fontId="12" fillId="4" borderId="27" xfId="8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409575</xdr:rowOff>
    </xdr:from>
    <xdr:to>
      <xdr:col>34</xdr:col>
      <xdr:colOff>38102</xdr:colOff>
      <xdr:row>2</xdr:row>
      <xdr:rowOff>552450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9550" y="409575"/>
          <a:ext cx="7277102" cy="10191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32</xdr:col>
      <xdr:colOff>180975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71913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409574</xdr:rowOff>
    </xdr:from>
    <xdr:to>
      <xdr:col>34</xdr:col>
      <xdr:colOff>38102</xdr:colOff>
      <xdr:row>2</xdr:row>
      <xdr:rowOff>590549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9550" y="409574"/>
          <a:ext cx="7277102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R2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年度エネルギー使用合理化等事業者支援事業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33</xdr:col>
      <xdr:colOff>9525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723900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48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8" width="0.75" style="47" hidden="1" customWidth="1"/>
    <col min="39" max="39" width="22.75" style="50" hidden="1" customWidth="1"/>
    <col min="40" max="40" width="13.875" style="50" hidden="1" customWidth="1"/>
    <col min="41" max="42" width="20" style="50" hidden="1" customWidth="1"/>
    <col min="43" max="43" width="7.625" style="50" hidden="1" customWidth="1"/>
    <col min="44" max="44" width="9" style="48" hidden="1" customWidth="1"/>
    <col min="45" max="45" width="12.5" style="48" customWidth="1"/>
    <col min="46" max="46" width="9" style="51"/>
    <col min="47" max="50" width="9" style="48"/>
    <col min="51" max="51" width="13.625" style="48" customWidth="1"/>
    <col min="52" max="54" width="9" style="48"/>
    <col min="55" max="55" width="5.25" style="48" customWidth="1"/>
    <col min="56" max="58" width="9" style="48"/>
    <col min="59" max="59" width="2.875" style="48" customWidth="1"/>
    <col min="60" max="16384" width="9" style="48"/>
  </cols>
  <sheetData>
    <row r="1" spans="1:73" ht="34.5" customHeight="1">
      <c r="A1" s="131" t="s">
        <v>234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45"/>
      <c r="AG1" s="45"/>
      <c r="AH1" s="45"/>
      <c r="AI1" s="46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</row>
    <row r="2" spans="1:73" ht="34.5" customHeigh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49"/>
      <c r="AG2" s="49"/>
      <c r="AH2" s="49"/>
      <c r="AI2" s="49"/>
    </row>
    <row r="3" spans="1:73" ht="49.5" customHeight="1"/>
    <row r="4" spans="1:73" ht="15" customHeight="1">
      <c r="B4" s="132"/>
      <c r="C4" s="133"/>
      <c r="D4" s="133"/>
      <c r="E4" s="134"/>
      <c r="F4" s="135" t="s">
        <v>225</v>
      </c>
      <c r="G4" s="136"/>
      <c r="H4" s="136"/>
      <c r="I4" s="136"/>
      <c r="J4" s="136"/>
      <c r="K4" s="136"/>
    </row>
    <row r="5" spans="1:73" ht="15" customHeight="1">
      <c r="A5" s="47" t="s">
        <v>180</v>
      </c>
    </row>
    <row r="6" spans="1:73" ht="15" customHeight="1">
      <c r="B6" s="140" t="s">
        <v>118</v>
      </c>
      <c r="C6" s="141"/>
      <c r="D6" s="141"/>
      <c r="E6" s="141"/>
      <c r="F6" s="141"/>
      <c r="G6" s="141"/>
      <c r="H6" s="142"/>
      <c r="I6" s="262" t="s">
        <v>121</v>
      </c>
      <c r="J6" s="263"/>
      <c r="K6" s="263"/>
      <c r="L6" s="263"/>
      <c r="M6" s="263"/>
      <c r="N6" s="263"/>
      <c r="O6" s="263"/>
      <c r="P6" s="263"/>
      <c r="Q6" s="263"/>
      <c r="R6" s="264"/>
      <c r="S6" s="52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53"/>
      <c r="AJ6" s="48"/>
    </row>
    <row r="7" spans="1:73" ht="15" customHeight="1">
      <c r="B7" s="137" t="s">
        <v>231</v>
      </c>
      <c r="C7" s="138"/>
      <c r="D7" s="138"/>
      <c r="E7" s="138"/>
      <c r="F7" s="138"/>
      <c r="G7" s="138"/>
      <c r="H7" s="139"/>
      <c r="I7" s="163"/>
      <c r="J7" s="164"/>
      <c r="K7" s="164"/>
      <c r="L7" s="164"/>
      <c r="M7" s="164"/>
      <c r="N7" s="164"/>
      <c r="O7" s="164"/>
      <c r="P7" s="164"/>
      <c r="Q7" s="164"/>
      <c r="R7" s="165"/>
      <c r="S7" s="52"/>
      <c r="T7" s="146" t="s">
        <v>188</v>
      </c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53"/>
      <c r="AJ7" s="48"/>
    </row>
    <row r="8" spans="1:73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53"/>
      <c r="AJ8" s="56"/>
    </row>
    <row r="9" spans="1:73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6"/>
    </row>
    <row r="10" spans="1:73" ht="15" customHeight="1">
      <c r="B10" s="173" t="s">
        <v>232</v>
      </c>
      <c r="C10" s="174"/>
      <c r="D10" s="174"/>
      <c r="E10" s="174"/>
      <c r="F10" s="174"/>
      <c r="G10" s="174"/>
      <c r="H10" s="175"/>
      <c r="I10" s="163" t="s">
        <v>51</v>
      </c>
      <c r="J10" s="164"/>
      <c r="K10" s="164"/>
      <c r="L10" s="164"/>
      <c r="M10" s="164"/>
      <c r="N10" s="164"/>
      <c r="O10" s="164"/>
      <c r="P10" s="164"/>
      <c r="Q10" s="164"/>
      <c r="R10" s="164"/>
      <c r="S10" s="52"/>
      <c r="T10" s="146" t="s">
        <v>233</v>
      </c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53"/>
      <c r="AJ10" s="57"/>
      <c r="AM10" s="58" t="s">
        <v>120</v>
      </c>
      <c r="AN10" s="59" t="s">
        <v>144</v>
      </c>
      <c r="AO10" s="60"/>
      <c r="AP10" s="60"/>
      <c r="AQ10" s="60"/>
      <c r="AR10" s="61"/>
    </row>
    <row r="11" spans="1:73" ht="30" customHeight="1">
      <c r="B11" s="140" t="s">
        <v>52</v>
      </c>
      <c r="C11" s="141"/>
      <c r="D11" s="141"/>
      <c r="E11" s="141"/>
      <c r="F11" s="141"/>
      <c r="G11" s="141"/>
      <c r="H11" s="142"/>
      <c r="I11" s="163" t="s">
        <v>59</v>
      </c>
      <c r="J11" s="164"/>
      <c r="K11" s="164"/>
      <c r="L11" s="164"/>
      <c r="M11" s="164"/>
      <c r="N11" s="164"/>
      <c r="O11" s="164"/>
      <c r="P11" s="164"/>
      <c r="Q11" s="164"/>
      <c r="R11" s="164"/>
      <c r="S11" s="52"/>
      <c r="T11" s="146" t="s">
        <v>189</v>
      </c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53"/>
      <c r="AJ11" s="57"/>
      <c r="AO11" s="62"/>
      <c r="AP11" s="62"/>
    </row>
    <row r="12" spans="1:73" ht="15" customHeight="1">
      <c r="B12" s="143" t="s">
        <v>128</v>
      </c>
      <c r="C12" s="144"/>
      <c r="D12" s="144"/>
      <c r="E12" s="144"/>
      <c r="F12" s="144"/>
      <c r="G12" s="144"/>
      <c r="H12" s="145"/>
      <c r="I12" s="163" t="s">
        <v>84</v>
      </c>
      <c r="J12" s="164"/>
      <c r="K12" s="164"/>
      <c r="L12" s="164"/>
      <c r="M12" s="164"/>
      <c r="N12" s="164"/>
      <c r="O12" s="164"/>
      <c r="P12" s="164"/>
      <c r="Q12" s="164"/>
      <c r="R12" s="164"/>
      <c r="S12" s="52"/>
      <c r="T12" s="146" t="s">
        <v>190</v>
      </c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53"/>
      <c r="AJ12" s="57"/>
    </row>
    <row r="13" spans="1:73" ht="3" customHeight="1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N13" s="63"/>
    </row>
    <row r="14" spans="1:73" ht="12" customHeight="1">
      <c r="B14" s="153" t="s">
        <v>201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56"/>
    </row>
    <row r="15" spans="1:73" ht="15" customHeight="1">
      <c r="A15" s="47" t="s">
        <v>171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N15" s="50" t="s">
        <v>182</v>
      </c>
      <c r="AO15" s="50" t="s">
        <v>183</v>
      </c>
    </row>
    <row r="16" spans="1:73" ht="15" customHeight="1">
      <c r="B16" s="148" t="s">
        <v>181</v>
      </c>
      <c r="C16" s="148"/>
      <c r="D16" s="148"/>
      <c r="E16" s="142" t="s">
        <v>2</v>
      </c>
      <c r="F16" s="148"/>
      <c r="G16" s="148"/>
      <c r="H16" s="148"/>
      <c r="I16" s="154">
        <v>1407</v>
      </c>
      <c r="J16" s="155"/>
      <c r="K16" s="155"/>
      <c r="L16" s="155"/>
      <c r="M16" s="155"/>
      <c r="N16" s="155"/>
      <c r="O16" s="155"/>
      <c r="P16" s="156" t="s">
        <v>53</v>
      </c>
      <c r="Q16" s="156"/>
      <c r="R16" s="157"/>
      <c r="S16" s="52"/>
      <c r="T16" s="146" t="s">
        <v>191</v>
      </c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53"/>
      <c r="AJ16" s="64"/>
      <c r="AM16" s="65" t="s">
        <v>0</v>
      </c>
      <c r="AN16" s="66">
        <f>ROUNDDOWN(IF(P16="kW",I16,I16/860),1)</f>
        <v>1407</v>
      </c>
      <c r="AO16" s="66">
        <f>ROUNDDOWN(AN16/AN18*860/AN20*0.9/0.93,1)</f>
        <v>112.9</v>
      </c>
      <c r="AP16" s="67"/>
      <c r="AQ16" s="48"/>
    </row>
    <row r="17" spans="1:53" ht="15" customHeight="1">
      <c r="B17" s="148"/>
      <c r="C17" s="148"/>
      <c r="D17" s="148"/>
      <c r="E17" s="141" t="s">
        <v>172</v>
      </c>
      <c r="F17" s="141"/>
      <c r="G17" s="141"/>
      <c r="H17" s="141"/>
      <c r="I17" s="154">
        <v>1177</v>
      </c>
      <c r="J17" s="155"/>
      <c r="K17" s="155"/>
      <c r="L17" s="155"/>
      <c r="M17" s="155"/>
      <c r="N17" s="155"/>
      <c r="O17" s="155"/>
      <c r="P17" s="156" t="s">
        <v>53</v>
      </c>
      <c r="Q17" s="156"/>
      <c r="R17" s="157"/>
      <c r="S17" s="52"/>
      <c r="T17" s="146" t="s">
        <v>191</v>
      </c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53"/>
      <c r="AJ17" s="68"/>
      <c r="AM17" s="65" t="s">
        <v>1</v>
      </c>
      <c r="AN17" s="66">
        <f>ROUNDDOWN(IF(P17="kW",I17,I17/860),1)</f>
        <v>1177</v>
      </c>
      <c r="AO17" s="69">
        <f>ROUNDDOWN(AN17/AO18*860/AN20*0.9/0.93,1)</f>
        <v>107.9</v>
      </c>
      <c r="AP17" s="70"/>
      <c r="AQ17" s="62"/>
    </row>
    <row r="18" spans="1:53" ht="15" customHeight="1">
      <c r="B18" s="148" t="s">
        <v>174</v>
      </c>
      <c r="C18" s="148"/>
      <c r="D18" s="148"/>
      <c r="E18" s="148"/>
      <c r="F18" s="148"/>
      <c r="G18" s="148"/>
      <c r="H18" s="148"/>
      <c r="I18" s="163" t="s">
        <v>73</v>
      </c>
      <c r="J18" s="164"/>
      <c r="K18" s="164"/>
      <c r="L18" s="164"/>
      <c r="M18" s="164"/>
      <c r="N18" s="164"/>
      <c r="O18" s="164"/>
      <c r="P18" s="164"/>
      <c r="Q18" s="164"/>
      <c r="R18" s="165"/>
      <c r="S18" s="52"/>
      <c r="T18" s="146" t="s">
        <v>192</v>
      </c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53"/>
      <c r="AJ18" s="68"/>
      <c r="AM18" s="71" t="s">
        <v>184</v>
      </c>
      <c r="AN18" s="72">
        <f>VLOOKUP(AN10&amp;E16&amp;AN22,'&lt;吸収式&gt;マスタ'!$R$6:$S$39,2,0)</f>
        <v>0.96</v>
      </c>
      <c r="AO18" s="72">
        <f>VLOOKUP(AN10&amp;E17&amp;AN22,'&lt;吸収式&gt;マスタ'!$R$6:$S$39,2,0)</f>
        <v>0.84</v>
      </c>
      <c r="AP18" s="73"/>
      <c r="AQ18" s="60"/>
      <c r="AS18" s="74"/>
      <c r="AT18" s="75"/>
      <c r="AU18" s="74"/>
      <c r="AV18" s="74"/>
      <c r="AW18" s="74"/>
      <c r="AX18" s="74"/>
      <c r="AY18" s="61"/>
      <c r="AZ18" s="76"/>
      <c r="BA18" s="76"/>
    </row>
    <row r="19" spans="1:53" ht="3" customHeight="1"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119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53"/>
      <c r="AJ19" s="68"/>
      <c r="AM19" s="62"/>
      <c r="AN19" s="62"/>
      <c r="AO19" s="62"/>
      <c r="AP19" s="62"/>
      <c r="AQ19" s="62"/>
    </row>
    <row r="20" spans="1:53" ht="15" customHeight="1">
      <c r="A20" s="47" t="s">
        <v>173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78"/>
      <c r="T20" s="78"/>
      <c r="U20" s="78"/>
      <c r="V20" s="78"/>
      <c r="W20" s="79"/>
      <c r="X20" s="79"/>
      <c r="Y20" s="79"/>
      <c r="Z20" s="79"/>
      <c r="AA20" s="79"/>
      <c r="AB20" s="79"/>
      <c r="AC20" s="79"/>
      <c r="AD20" s="78"/>
      <c r="AE20" s="78"/>
      <c r="AF20" s="78"/>
      <c r="AG20" s="78"/>
      <c r="AH20" s="78"/>
      <c r="AI20" s="78"/>
      <c r="AJ20" s="68"/>
      <c r="AM20" s="58" t="s">
        <v>160</v>
      </c>
      <c r="AN20" s="80">
        <f>VLOOKUP(I18,'&lt;吸収式&gt;マスタ'!$F$6:$G$13,2,0)</f>
        <v>10800</v>
      </c>
      <c r="AO20" s="81" t="s">
        <v>161</v>
      </c>
      <c r="AP20" s="76"/>
      <c r="AQ20" s="62"/>
    </row>
    <row r="21" spans="1:53" ht="30" customHeight="1">
      <c r="B21" s="173" t="s">
        <v>54</v>
      </c>
      <c r="C21" s="174"/>
      <c r="D21" s="174"/>
      <c r="E21" s="174"/>
      <c r="F21" s="174"/>
      <c r="G21" s="174"/>
      <c r="H21" s="175"/>
      <c r="I21" s="162" t="s">
        <v>4</v>
      </c>
      <c r="J21" s="162"/>
      <c r="K21" s="162"/>
      <c r="L21" s="162"/>
      <c r="M21" s="162"/>
      <c r="N21" s="162"/>
      <c r="O21" s="162"/>
      <c r="P21" s="162"/>
      <c r="Q21" s="162"/>
      <c r="R21" s="162"/>
      <c r="S21" s="52"/>
      <c r="T21" s="147" t="s">
        <v>221</v>
      </c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53"/>
      <c r="AJ21" s="68"/>
      <c r="AM21" s="62"/>
      <c r="AN21" s="62"/>
      <c r="AO21" s="62"/>
      <c r="AP21" s="62"/>
      <c r="AQ21" s="62"/>
    </row>
    <row r="22" spans="1:53" ht="15" customHeight="1">
      <c r="B22" s="140" t="s">
        <v>129</v>
      </c>
      <c r="C22" s="141"/>
      <c r="D22" s="141"/>
      <c r="E22" s="141"/>
      <c r="F22" s="141"/>
      <c r="G22" s="141"/>
      <c r="H22" s="142"/>
      <c r="I22" s="172">
        <v>1990</v>
      </c>
      <c r="J22" s="172"/>
      <c r="K22" s="172"/>
      <c r="L22" s="172"/>
      <c r="M22" s="172"/>
      <c r="N22" s="172"/>
      <c r="O22" s="172"/>
      <c r="P22" s="172"/>
      <c r="Q22" s="172"/>
      <c r="R22" s="172"/>
      <c r="S22" s="52"/>
      <c r="T22" s="146" t="s">
        <v>193</v>
      </c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53"/>
      <c r="AJ22" s="68"/>
      <c r="AM22" s="71" t="s">
        <v>64</v>
      </c>
      <c r="AN22" s="82">
        <f>VLOOKUP(I22,'&lt;吸収式&gt;マスタ'!U7:V75,2,0)</f>
        <v>1990</v>
      </c>
      <c r="AO22" s="62"/>
      <c r="AP22" s="62"/>
      <c r="AQ22" s="62"/>
    </row>
    <row r="23" spans="1:53" ht="15" customHeight="1">
      <c r="B23" s="143" t="s">
        <v>119</v>
      </c>
      <c r="C23" s="144"/>
      <c r="D23" s="144"/>
      <c r="E23" s="144"/>
      <c r="F23" s="144"/>
      <c r="G23" s="144"/>
      <c r="H23" s="145"/>
      <c r="I23" s="149">
        <v>1</v>
      </c>
      <c r="J23" s="150"/>
      <c r="K23" s="150"/>
      <c r="L23" s="150"/>
      <c r="M23" s="150"/>
      <c r="N23" s="150"/>
      <c r="O23" s="150"/>
      <c r="P23" s="151" t="s">
        <v>202</v>
      </c>
      <c r="Q23" s="152"/>
      <c r="R23" s="152"/>
      <c r="S23" s="52"/>
      <c r="T23" s="146" t="s">
        <v>194</v>
      </c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53"/>
      <c r="AJ23" s="68"/>
      <c r="AM23" s="62"/>
      <c r="AN23" s="62"/>
      <c r="AO23" s="62"/>
      <c r="AP23" s="62"/>
      <c r="AQ23" s="62"/>
    </row>
    <row r="24" spans="1:53" ht="3" customHeight="1">
      <c r="B24" s="77"/>
      <c r="C24" s="77"/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78"/>
      <c r="T24" s="78"/>
      <c r="U24" s="78"/>
      <c r="V24" s="78"/>
      <c r="W24" s="79"/>
      <c r="X24" s="79"/>
      <c r="Y24" s="79"/>
      <c r="Z24" s="79"/>
      <c r="AA24" s="79"/>
      <c r="AB24" s="79"/>
      <c r="AC24" s="79"/>
      <c r="AD24" s="78"/>
      <c r="AE24" s="78"/>
      <c r="AF24" s="78"/>
      <c r="AG24" s="78"/>
      <c r="AH24" s="78"/>
      <c r="AI24" s="78"/>
      <c r="AJ24" s="68"/>
      <c r="AM24" s="62"/>
      <c r="AN24" s="62"/>
      <c r="AO24" s="62"/>
      <c r="AP24" s="62"/>
      <c r="AQ24" s="62"/>
    </row>
    <row r="25" spans="1:53" ht="15" customHeight="1">
      <c r="A25" s="47" t="s">
        <v>176</v>
      </c>
      <c r="B25" s="68"/>
      <c r="C25" s="68"/>
      <c r="D25" s="68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4"/>
      <c r="Q25" s="84"/>
      <c r="R25" s="84"/>
      <c r="S25" s="78"/>
      <c r="T25" s="78"/>
      <c r="U25" s="78"/>
      <c r="V25" s="78"/>
      <c r="W25" s="79"/>
      <c r="X25" s="79"/>
      <c r="Y25" s="79"/>
      <c r="Z25" s="79"/>
      <c r="AA25" s="79"/>
      <c r="AB25" s="79"/>
      <c r="AC25" s="79"/>
      <c r="AD25" s="78"/>
      <c r="AE25" s="78"/>
      <c r="AF25" s="78"/>
      <c r="AG25" s="78"/>
      <c r="AH25" s="78"/>
      <c r="AI25" s="78"/>
      <c r="AJ25" s="68"/>
      <c r="AM25" s="86"/>
      <c r="AN25" s="61"/>
      <c r="AO25" s="86"/>
      <c r="AP25" s="86"/>
      <c r="AQ25" s="61"/>
    </row>
    <row r="26" spans="1:53" ht="15" customHeight="1">
      <c r="B26" s="176" t="s">
        <v>177</v>
      </c>
      <c r="C26" s="177"/>
      <c r="D26" s="177"/>
      <c r="E26" s="177"/>
      <c r="F26" s="177"/>
      <c r="G26" s="177"/>
      <c r="H26" s="177"/>
      <c r="I26" s="163" t="s">
        <v>109</v>
      </c>
      <c r="J26" s="164"/>
      <c r="K26" s="164"/>
      <c r="L26" s="164"/>
      <c r="M26" s="164"/>
      <c r="N26" s="164"/>
      <c r="O26" s="164"/>
      <c r="P26" s="164"/>
      <c r="Q26" s="164"/>
      <c r="R26" s="165"/>
      <c r="S26" s="52"/>
      <c r="T26" s="146" t="s">
        <v>195</v>
      </c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53"/>
      <c r="AJ26" s="68"/>
      <c r="AM26" s="86"/>
      <c r="AN26" s="48"/>
      <c r="AO26" s="86"/>
      <c r="AP26" s="86"/>
      <c r="AQ26" s="48"/>
    </row>
    <row r="27" spans="1:53" ht="14.25" customHeight="1">
      <c r="B27" s="148" t="s">
        <v>103</v>
      </c>
      <c r="C27" s="148"/>
      <c r="D27" s="148"/>
      <c r="E27" s="166" t="s">
        <v>131</v>
      </c>
      <c r="F27" s="166"/>
      <c r="G27" s="166"/>
      <c r="H27" s="166"/>
      <c r="I27" s="167" t="s">
        <v>130</v>
      </c>
      <c r="J27" s="168"/>
      <c r="K27" s="168"/>
      <c r="L27" s="168"/>
      <c r="M27" s="168"/>
      <c r="N27" s="168"/>
      <c r="O27" s="168"/>
      <c r="P27" s="168"/>
      <c r="Q27" s="168"/>
      <c r="R27" s="169"/>
      <c r="S27" s="52"/>
      <c r="T27" s="146" t="str">
        <f>IF(I26="該当","←「有り」「無し（一定値）」から選択","←入力不要")</f>
        <v>←「有り」「無し（一定値）」から選択</v>
      </c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53"/>
      <c r="AJ27" s="48"/>
      <c r="AM27" s="71" t="s">
        <v>131</v>
      </c>
      <c r="AN27" s="71">
        <f>IF($I$27="有り",0.5,1)</f>
        <v>1</v>
      </c>
    </row>
    <row r="28" spans="1:53" ht="30" customHeight="1">
      <c r="B28" s="148"/>
      <c r="C28" s="148"/>
      <c r="D28" s="148"/>
      <c r="E28" s="170" t="s">
        <v>140</v>
      </c>
      <c r="F28" s="171"/>
      <c r="G28" s="171"/>
      <c r="H28" s="171"/>
      <c r="I28" s="158">
        <v>90</v>
      </c>
      <c r="J28" s="159"/>
      <c r="K28" s="159"/>
      <c r="L28" s="159"/>
      <c r="M28" s="159"/>
      <c r="N28" s="159"/>
      <c r="O28" s="159"/>
      <c r="P28" s="160" t="s">
        <v>94</v>
      </c>
      <c r="Q28" s="160"/>
      <c r="R28" s="161"/>
      <c r="S28" s="52"/>
      <c r="T28" s="146" t="str">
        <f>IF(I26="該当","←水頭損失を入力（半角）※初期値：90","←入力不要")</f>
        <v>←水頭損失を入力（半角）※初期値：90</v>
      </c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53"/>
      <c r="AJ28" s="48"/>
      <c r="AM28" s="87" t="s">
        <v>169</v>
      </c>
      <c r="AN28" s="88">
        <f>ROUNDDOWN(1000*I29/3600*(I28+196)/0.8/0.93/1000,1)</f>
        <v>42.7</v>
      </c>
      <c r="AO28" s="62"/>
      <c r="AP28" s="62"/>
    </row>
    <row r="29" spans="1:53" ht="15" customHeight="1">
      <c r="B29" s="148"/>
      <c r="C29" s="148"/>
      <c r="D29" s="148"/>
      <c r="E29" s="142" t="s">
        <v>89</v>
      </c>
      <c r="F29" s="148"/>
      <c r="G29" s="148"/>
      <c r="H29" s="148"/>
      <c r="I29" s="158">
        <v>400</v>
      </c>
      <c r="J29" s="159"/>
      <c r="K29" s="159"/>
      <c r="L29" s="159"/>
      <c r="M29" s="159"/>
      <c r="N29" s="159"/>
      <c r="O29" s="159"/>
      <c r="P29" s="160" t="s">
        <v>235</v>
      </c>
      <c r="Q29" s="160"/>
      <c r="R29" s="161"/>
      <c r="S29" s="52"/>
      <c r="T29" s="146" t="str">
        <f>IF(I26="該当","←冷却水流量を入力（半角）","←入力不要")</f>
        <v>←冷却水流量を入力（半角）</v>
      </c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53"/>
      <c r="AJ29" s="57"/>
      <c r="AM29" s="71" t="s">
        <v>95</v>
      </c>
      <c r="AN29" s="89">
        <f>ROUNDDOWN(AN28*AN27,2)</f>
        <v>42.7</v>
      </c>
    </row>
    <row r="30" spans="1:53" ht="3" customHeight="1">
      <c r="B30" s="57"/>
      <c r="C30" s="57"/>
      <c r="D30" s="57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</row>
    <row r="31" spans="1:53" ht="3" customHeight="1">
      <c r="B31" s="57"/>
      <c r="C31" s="57"/>
      <c r="D31" s="57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</row>
    <row r="32" spans="1:53" ht="15" customHeight="1">
      <c r="A32" s="47" t="s">
        <v>175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1"/>
      <c r="AF32" s="91"/>
      <c r="AG32" s="91"/>
      <c r="AH32" s="91"/>
      <c r="AI32" s="91"/>
      <c r="AJ32" s="91"/>
      <c r="AM32" s="62"/>
      <c r="AN32" s="62"/>
      <c r="AO32" s="62"/>
      <c r="AP32" s="62"/>
    </row>
    <row r="33" spans="1:46" ht="30" customHeight="1">
      <c r="B33" s="247" t="s">
        <v>156</v>
      </c>
      <c r="C33" s="248"/>
      <c r="D33" s="249"/>
      <c r="E33" s="173" t="s">
        <v>56</v>
      </c>
      <c r="F33" s="175"/>
      <c r="G33" s="173" t="s">
        <v>14</v>
      </c>
      <c r="H33" s="174"/>
      <c r="I33" s="175"/>
      <c r="J33" s="178" t="s">
        <v>76</v>
      </c>
      <c r="K33" s="179"/>
      <c r="L33" s="180"/>
      <c r="M33" s="181" t="s">
        <v>133</v>
      </c>
      <c r="N33" s="182"/>
      <c r="O33" s="182"/>
      <c r="P33" s="183"/>
      <c r="Q33" s="173" t="s">
        <v>127</v>
      </c>
      <c r="R33" s="174"/>
      <c r="S33" s="175"/>
      <c r="T33" s="173" t="s">
        <v>110</v>
      </c>
      <c r="U33" s="174"/>
      <c r="V33" s="175"/>
      <c r="W33" s="173" t="s">
        <v>57</v>
      </c>
      <c r="X33" s="174"/>
      <c r="Y33" s="174"/>
      <c r="Z33" s="174"/>
      <c r="AA33" s="175"/>
      <c r="AB33" s="231"/>
      <c r="AC33" s="232"/>
      <c r="AD33" s="232"/>
      <c r="AE33" s="232"/>
      <c r="AF33" s="232"/>
      <c r="AG33" s="232"/>
      <c r="AH33" s="232"/>
      <c r="AI33" s="232"/>
      <c r="AJ33" s="232"/>
      <c r="AN33" s="92"/>
      <c r="AO33" s="92"/>
      <c r="AP33" s="92"/>
      <c r="AQ33" s="93"/>
    </row>
    <row r="34" spans="1:46" ht="13.5" customHeight="1" thickBot="1">
      <c r="B34" s="250"/>
      <c r="C34" s="251"/>
      <c r="D34" s="252"/>
      <c r="E34" s="143"/>
      <c r="F34" s="145"/>
      <c r="G34" s="143"/>
      <c r="H34" s="144"/>
      <c r="I34" s="145"/>
      <c r="J34" s="273" t="s">
        <v>100</v>
      </c>
      <c r="K34" s="274"/>
      <c r="L34" s="275"/>
      <c r="M34" s="270" t="s">
        <v>114</v>
      </c>
      <c r="N34" s="271"/>
      <c r="O34" s="271"/>
      <c r="P34" s="272"/>
      <c r="Q34" s="143"/>
      <c r="R34" s="144"/>
      <c r="S34" s="145"/>
      <c r="T34" s="270" t="s">
        <v>111</v>
      </c>
      <c r="U34" s="271"/>
      <c r="V34" s="272"/>
      <c r="W34" s="267" t="s">
        <v>203</v>
      </c>
      <c r="X34" s="268"/>
      <c r="Y34" s="268"/>
      <c r="Z34" s="268"/>
      <c r="AA34" s="269"/>
      <c r="AB34" s="231"/>
      <c r="AC34" s="232"/>
      <c r="AD34" s="232"/>
      <c r="AE34" s="232"/>
      <c r="AF34" s="232"/>
      <c r="AG34" s="232"/>
      <c r="AH34" s="232"/>
      <c r="AI34" s="232"/>
      <c r="AJ34" s="232"/>
      <c r="AM34" s="71" t="s">
        <v>80</v>
      </c>
      <c r="AN34" s="71" t="s">
        <v>81</v>
      </c>
      <c r="AQ34" s="50" t="s">
        <v>170</v>
      </c>
    </row>
    <row r="35" spans="1:46" ht="15" customHeight="1" thickTop="1">
      <c r="B35" s="250"/>
      <c r="C35" s="251"/>
      <c r="D35" s="252"/>
      <c r="E35" s="187">
        <v>4</v>
      </c>
      <c r="F35" s="188"/>
      <c r="G35" s="189" t="str">
        <f>VLOOKUP(E35&amp;$I$21,'&lt;吸収式&gt;マスタ'!Z:AC,4,0)</f>
        <v>暖房</v>
      </c>
      <c r="H35" s="190"/>
      <c r="I35" s="191"/>
      <c r="J35" s="192">
        <f t="shared" ref="J35:J46" si="0">IF(G35="暖房",$AO$17,$AO$16)</f>
        <v>107.9</v>
      </c>
      <c r="K35" s="193"/>
      <c r="L35" s="194"/>
      <c r="M35" s="195">
        <f t="shared" ref="M35:M46" si="1">IF(G35="暖房",AN35,AM35)</f>
        <v>0.16</v>
      </c>
      <c r="N35" s="196"/>
      <c r="O35" s="196"/>
      <c r="P35" s="197"/>
      <c r="Q35" s="198">
        <f>VLOOKUP(E35&amp;G35&amp;$I$21&amp;$I$6,'&lt;吸収式&gt;マスタ'!$AI$8:$AP$151,8,0)</f>
        <v>0.9</v>
      </c>
      <c r="R35" s="199"/>
      <c r="S35" s="200"/>
      <c r="T35" s="201">
        <v>300</v>
      </c>
      <c r="U35" s="202"/>
      <c r="V35" s="203"/>
      <c r="W35" s="184">
        <f t="shared" ref="W35:W46" si="2">ROUNDDOWN(AQ35*M35*T35*$I$23/$AM$53,1)</f>
        <v>6686.5</v>
      </c>
      <c r="X35" s="185"/>
      <c r="Y35" s="185"/>
      <c r="Z35" s="185"/>
      <c r="AA35" s="186"/>
      <c r="AB35" s="265" t="s">
        <v>226</v>
      </c>
      <c r="AC35" s="266"/>
      <c r="AD35" s="266"/>
      <c r="AE35" s="266"/>
      <c r="AF35" s="266"/>
      <c r="AG35" s="266"/>
      <c r="AH35" s="266"/>
      <c r="AI35" s="94"/>
      <c r="AJ35" s="94"/>
      <c r="AM35" s="72">
        <f>VLOOKUP(E35&amp;$I$21,'&lt;吸収式&gt;マスタ'!$Z$8:$AB$31,2,0)</f>
        <v>0</v>
      </c>
      <c r="AN35" s="72">
        <f>VLOOKUP(E35&amp;$I$21,'&lt;吸収式&gt;マスタ'!$Z$8:$AB$31,3,0)</f>
        <v>0.16</v>
      </c>
      <c r="AO35" s="93">
        <f>IF(G35="暖房",AN35,AM35)</f>
        <v>0.16</v>
      </c>
      <c r="AP35" s="93" t="str">
        <f>IF(AO35=M35,"○","")</f>
        <v>○</v>
      </c>
      <c r="AQ35" s="89">
        <f t="shared" ref="AQ35:AQ46" si="3">ROUNDDOWN(J35/Q35,1)</f>
        <v>119.8</v>
      </c>
    </row>
    <row r="36" spans="1:46" ht="15" customHeight="1">
      <c r="B36" s="250"/>
      <c r="C36" s="251"/>
      <c r="D36" s="252"/>
      <c r="E36" s="187">
        <v>5</v>
      </c>
      <c r="F36" s="188"/>
      <c r="G36" s="189" t="str">
        <f>VLOOKUP(E36&amp;$I$21,'&lt;吸収式&gt;マスタ'!Z:AC,4,0)</f>
        <v>冷房</v>
      </c>
      <c r="H36" s="190"/>
      <c r="I36" s="191"/>
      <c r="J36" s="192">
        <f t="shared" si="0"/>
        <v>112.9</v>
      </c>
      <c r="K36" s="193"/>
      <c r="L36" s="194"/>
      <c r="M36" s="195">
        <f t="shared" si="1"/>
        <v>0.29599999999999999</v>
      </c>
      <c r="N36" s="196"/>
      <c r="O36" s="196"/>
      <c r="P36" s="197"/>
      <c r="Q36" s="198">
        <f>VLOOKUP(E36&amp;G36&amp;$I$21&amp;$I$6,'&lt;吸収式&gt;マスタ'!$AI$8:$AP$151,8,0)</f>
        <v>0.93</v>
      </c>
      <c r="R36" s="199"/>
      <c r="S36" s="200"/>
      <c r="T36" s="201">
        <v>300</v>
      </c>
      <c r="U36" s="202"/>
      <c r="V36" s="203"/>
      <c r="W36" s="204">
        <f t="shared" si="2"/>
        <v>12524.9</v>
      </c>
      <c r="X36" s="193"/>
      <c r="Y36" s="193"/>
      <c r="Z36" s="193"/>
      <c r="AA36" s="205"/>
      <c r="AB36" s="265"/>
      <c r="AC36" s="266"/>
      <c r="AD36" s="266"/>
      <c r="AE36" s="266"/>
      <c r="AF36" s="266"/>
      <c r="AG36" s="266"/>
      <c r="AH36" s="266"/>
      <c r="AI36" s="94"/>
      <c r="AJ36" s="94"/>
      <c r="AM36" s="72">
        <f>VLOOKUP(E36&amp;$I$21,'&lt;吸収式&gt;マスタ'!$Z$8:$AB$31,2,0)</f>
        <v>0.29599999999999999</v>
      </c>
      <c r="AN36" s="72">
        <f>VLOOKUP(E36&amp;$I$21,'&lt;吸収式&gt;マスタ'!$Z$8:$AB$31,3,0)</f>
        <v>0</v>
      </c>
      <c r="AO36" s="93">
        <f t="shared" ref="AO36:AO46" si="4">IF(G36="暖房",AN36,AM36)</f>
        <v>0.29599999999999999</v>
      </c>
      <c r="AP36" s="93" t="str">
        <f t="shared" ref="AP36:AP46" si="5">IF(AO36=M36,"○","")</f>
        <v>○</v>
      </c>
      <c r="AQ36" s="89">
        <f t="shared" si="3"/>
        <v>121.3</v>
      </c>
    </row>
    <row r="37" spans="1:46" ht="15" customHeight="1">
      <c r="B37" s="250"/>
      <c r="C37" s="251"/>
      <c r="D37" s="252"/>
      <c r="E37" s="187">
        <v>6</v>
      </c>
      <c r="F37" s="188"/>
      <c r="G37" s="189" t="str">
        <f>VLOOKUP(E37&amp;$I$21,'&lt;吸収式&gt;マスタ'!Z:AC,4,0)</f>
        <v>冷房</v>
      </c>
      <c r="H37" s="190"/>
      <c r="I37" s="191"/>
      <c r="J37" s="192">
        <f t="shared" si="0"/>
        <v>112.9</v>
      </c>
      <c r="K37" s="193"/>
      <c r="L37" s="194"/>
      <c r="M37" s="195">
        <f t="shared" si="1"/>
        <v>0.435</v>
      </c>
      <c r="N37" s="196"/>
      <c r="O37" s="196"/>
      <c r="P37" s="197"/>
      <c r="Q37" s="198">
        <f>VLOOKUP(E37&amp;G37&amp;$I$21&amp;$I$6,'&lt;吸収式&gt;マスタ'!$AI$8:$AP$151,8,0)</f>
        <v>1.03</v>
      </c>
      <c r="R37" s="199"/>
      <c r="S37" s="200"/>
      <c r="T37" s="201">
        <v>300</v>
      </c>
      <c r="U37" s="202"/>
      <c r="V37" s="203"/>
      <c r="W37" s="204">
        <f t="shared" si="2"/>
        <v>16631.099999999999</v>
      </c>
      <c r="X37" s="193"/>
      <c r="Y37" s="193"/>
      <c r="Z37" s="193"/>
      <c r="AA37" s="205"/>
      <c r="AB37" s="95"/>
      <c r="AC37" s="94"/>
      <c r="AD37" s="94"/>
      <c r="AE37" s="94"/>
      <c r="AF37" s="94"/>
      <c r="AG37" s="94"/>
      <c r="AH37" s="94"/>
      <c r="AI37" s="94"/>
      <c r="AJ37" s="94"/>
      <c r="AM37" s="72">
        <f>VLOOKUP(E37&amp;$I$21,'&lt;吸収式&gt;マスタ'!$Z$8:$AB$31,2,0)</f>
        <v>0.435</v>
      </c>
      <c r="AN37" s="72">
        <f>VLOOKUP(E37&amp;$I$21,'&lt;吸収式&gt;マスタ'!$Z$8:$AB$31,3,0)</f>
        <v>0</v>
      </c>
      <c r="AO37" s="93">
        <f t="shared" si="4"/>
        <v>0.435</v>
      </c>
      <c r="AP37" s="93" t="str">
        <f t="shared" si="5"/>
        <v>○</v>
      </c>
      <c r="AQ37" s="89">
        <f t="shared" si="3"/>
        <v>109.6</v>
      </c>
    </row>
    <row r="38" spans="1:46" ht="15" customHeight="1">
      <c r="B38" s="250"/>
      <c r="C38" s="251"/>
      <c r="D38" s="252"/>
      <c r="E38" s="187">
        <v>7</v>
      </c>
      <c r="F38" s="188"/>
      <c r="G38" s="189" t="str">
        <f>VLOOKUP(E38&amp;$I$21,'&lt;吸収式&gt;マスタ'!Z:AC,4,0)</f>
        <v>冷房</v>
      </c>
      <c r="H38" s="190"/>
      <c r="I38" s="191"/>
      <c r="J38" s="192">
        <f t="shared" si="0"/>
        <v>112.9</v>
      </c>
      <c r="K38" s="193"/>
      <c r="L38" s="194"/>
      <c r="M38" s="195">
        <f t="shared" si="1"/>
        <v>0.64100000000000001</v>
      </c>
      <c r="N38" s="196"/>
      <c r="O38" s="196"/>
      <c r="P38" s="197"/>
      <c r="Q38" s="198">
        <f>VLOOKUP(E38&amp;G38&amp;$I$21&amp;$I$6,'&lt;吸収式&gt;マスタ'!$AI$8:$AP$151,8,0)</f>
        <v>1.02</v>
      </c>
      <c r="R38" s="199"/>
      <c r="S38" s="200"/>
      <c r="T38" s="201">
        <v>300</v>
      </c>
      <c r="U38" s="202"/>
      <c r="V38" s="203"/>
      <c r="W38" s="204">
        <f t="shared" si="2"/>
        <v>24730.6</v>
      </c>
      <c r="X38" s="193"/>
      <c r="Y38" s="193"/>
      <c r="Z38" s="193"/>
      <c r="AA38" s="205"/>
      <c r="AB38" s="265" t="s">
        <v>237</v>
      </c>
      <c r="AC38" s="266"/>
      <c r="AD38" s="266"/>
      <c r="AE38" s="266"/>
      <c r="AF38" s="266"/>
      <c r="AG38" s="266"/>
      <c r="AH38" s="266"/>
      <c r="AI38" s="94"/>
      <c r="AJ38" s="94"/>
      <c r="AM38" s="72">
        <f>VLOOKUP(E38&amp;$I$21,'&lt;吸収式&gt;マスタ'!$Z$8:$AB$31,2,0)</f>
        <v>0.64100000000000001</v>
      </c>
      <c r="AN38" s="72">
        <f>VLOOKUP(E38&amp;$I$21,'&lt;吸収式&gt;マスタ'!$Z$8:$AB$31,3,0)</f>
        <v>0</v>
      </c>
      <c r="AO38" s="93">
        <f t="shared" si="4"/>
        <v>0.64100000000000001</v>
      </c>
      <c r="AP38" s="93" t="str">
        <f t="shared" si="5"/>
        <v>○</v>
      </c>
      <c r="AQ38" s="89">
        <f t="shared" si="3"/>
        <v>110.6</v>
      </c>
    </row>
    <row r="39" spans="1:46" ht="15" customHeight="1">
      <c r="B39" s="250"/>
      <c r="C39" s="251"/>
      <c r="D39" s="252"/>
      <c r="E39" s="187">
        <v>8</v>
      </c>
      <c r="F39" s="188"/>
      <c r="G39" s="189" t="str">
        <f>VLOOKUP(E39&amp;$I$21,'&lt;吸収式&gt;マスタ'!Z:AC,4,0)</f>
        <v>冷房</v>
      </c>
      <c r="H39" s="190"/>
      <c r="I39" s="191"/>
      <c r="J39" s="192">
        <f t="shared" si="0"/>
        <v>112.9</v>
      </c>
      <c r="K39" s="193"/>
      <c r="L39" s="194"/>
      <c r="M39" s="195">
        <f t="shared" si="1"/>
        <v>0.69299999999999995</v>
      </c>
      <c r="N39" s="196"/>
      <c r="O39" s="196"/>
      <c r="P39" s="197"/>
      <c r="Q39" s="198">
        <f>VLOOKUP(E39&amp;G39&amp;$I$21&amp;$I$6,'&lt;吸収式&gt;マスタ'!$AI$8:$AP$151,8,0)</f>
        <v>1.01</v>
      </c>
      <c r="R39" s="199"/>
      <c r="S39" s="200"/>
      <c r="T39" s="201">
        <v>300</v>
      </c>
      <c r="U39" s="202"/>
      <c r="V39" s="203"/>
      <c r="W39" s="204">
        <f t="shared" si="2"/>
        <v>27002.799999999999</v>
      </c>
      <c r="X39" s="193"/>
      <c r="Y39" s="193"/>
      <c r="Z39" s="193"/>
      <c r="AA39" s="205"/>
      <c r="AB39" s="265"/>
      <c r="AC39" s="266"/>
      <c r="AD39" s="266"/>
      <c r="AE39" s="266"/>
      <c r="AF39" s="266"/>
      <c r="AG39" s="266"/>
      <c r="AH39" s="266"/>
      <c r="AI39" s="94"/>
      <c r="AJ39" s="94"/>
      <c r="AM39" s="72">
        <f>VLOOKUP(E39&amp;$I$21,'&lt;吸収式&gt;マスタ'!$Z$8:$AB$31,2,0)</f>
        <v>0.69299999999999995</v>
      </c>
      <c r="AN39" s="72">
        <f>VLOOKUP(E39&amp;$I$21,'&lt;吸収式&gt;マスタ'!$Z$8:$AB$31,3,0)</f>
        <v>0</v>
      </c>
      <c r="AO39" s="93">
        <f t="shared" si="4"/>
        <v>0.69299999999999995</v>
      </c>
      <c r="AP39" s="93" t="str">
        <f t="shared" si="5"/>
        <v>○</v>
      </c>
      <c r="AQ39" s="89">
        <f t="shared" si="3"/>
        <v>111.7</v>
      </c>
    </row>
    <row r="40" spans="1:46" ht="15" customHeight="1">
      <c r="B40" s="250"/>
      <c r="C40" s="251"/>
      <c r="D40" s="252"/>
      <c r="E40" s="187">
        <v>9</v>
      </c>
      <c r="F40" s="188"/>
      <c r="G40" s="189" t="str">
        <f>VLOOKUP(E40&amp;$I$21,'&lt;吸収式&gt;マスタ'!Z:AC,4,0)</f>
        <v>冷房</v>
      </c>
      <c r="H40" s="190"/>
      <c r="I40" s="191"/>
      <c r="J40" s="192">
        <f t="shared" si="0"/>
        <v>112.9</v>
      </c>
      <c r="K40" s="193"/>
      <c r="L40" s="194"/>
      <c r="M40" s="195">
        <f t="shared" si="1"/>
        <v>0.47</v>
      </c>
      <c r="N40" s="196"/>
      <c r="O40" s="196"/>
      <c r="P40" s="197"/>
      <c r="Q40" s="198">
        <f>VLOOKUP(E40&amp;G40&amp;$I$21&amp;$I$6,'&lt;吸収式&gt;マスタ'!$AI$8:$AP$151,8,0)</f>
        <v>1.03</v>
      </c>
      <c r="R40" s="199"/>
      <c r="S40" s="200"/>
      <c r="T40" s="201">
        <v>300</v>
      </c>
      <c r="U40" s="202"/>
      <c r="V40" s="203"/>
      <c r="W40" s="204">
        <f t="shared" si="2"/>
        <v>17969.3</v>
      </c>
      <c r="X40" s="193"/>
      <c r="Y40" s="193"/>
      <c r="Z40" s="193"/>
      <c r="AA40" s="205"/>
      <c r="AB40" s="265"/>
      <c r="AC40" s="266"/>
      <c r="AD40" s="266"/>
      <c r="AE40" s="266"/>
      <c r="AF40" s="266"/>
      <c r="AG40" s="266"/>
      <c r="AH40" s="266"/>
      <c r="AI40" s="94"/>
      <c r="AJ40" s="94"/>
      <c r="AM40" s="72">
        <f>VLOOKUP(E40&amp;$I$21,'&lt;吸収式&gt;マスタ'!$Z$8:$AB$31,2,0)</f>
        <v>0.47</v>
      </c>
      <c r="AN40" s="72">
        <f>VLOOKUP(E40&amp;$I$21,'&lt;吸収式&gt;マスタ'!$Z$8:$AB$31,3,0)</f>
        <v>0</v>
      </c>
      <c r="AO40" s="93">
        <f t="shared" si="4"/>
        <v>0.47</v>
      </c>
      <c r="AP40" s="93" t="str">
        <f t="shared" si="5"/>
        <v>○</v>
      </c>
      <c r="AQ40" s="89">
        <f t="shared" si="3"/>
        <v>109.6</v>
      </c>
    </row>
    <row r="41" spans="1:46" ht="15" customHeight="1">
      <c r="B41" s="250"/>
      <c r="C41" s="251"/>
      <c r="D41" s="252"/>
      <c r="E41" s="187">
        <v>10</v>
      </c>
      <c r="F41" s="188"/>
      <c r="G41" s="189" t="str">
        <f>VLOOKUP(E41&amp;$I$21,'&lt;吸収式&gt;マスタ'!Z:AC,4,0)</f>
        <v>冷房</v>
      </c>
      <c r="H41" s="190"/>
      <c r="I41" s="191"/>
      <c r="J41" s="192">
        <f t="shared" si="0"/>
        <v>112.9</v>
      </c>
      <c r="K41" s="193"/>
      <c r="L41" s="194"/>
      <c r="M41" s="195">
        <f t="shared" si="1"/>
        <v>0.36399999999999999</v>
      </c>
      <c r="N41" s="196"/>
      <c r="O41" s="196"/>
      <c r="P41" s="197"/>
      <c r="Q41" s="198">
        <f>VLOOKUP(E41&amp;G41&amp;$I$21&amp;$I$6,'&lt;吸収式&gt;マスタ'!$AI$8:$AP$151,8,0)</f>
        <v>1.03</v>
      </c>
      <c r="R41" s="199"/>
      <c r="S41" s="200"/>
      <c r="T41" s="201">
        <v>300</v>
      </c>
      <c r="U41" s="202"/>
      <c r="V41" s="203"/>
      <c r="W41" s="204">
        <f t="shared" si="2"/>
        <v>13916.6</v>
      </c>
      <c r="X41" s="193"/>
      <c r="Y41" s="193"/>
      <c r="Z41" s="193"/>
      <c r="AA41" s="205"/>
      <c r="AB41" s="265"/>
      <c r="AC41" s="266"/>
      <c r="AD41" s="266"/>
      <c r="AE41" s="266"/>
      <c r="AF41" s="266"/>
      <c r="AG41" s="266"/>
      <c r="AH41" s="266"/>
      <c r="AI41" s="94"/>
      <c r="AJ41" s="94"/>
      <c r="AM41" s="72">
        <f>VLOOKUP(E41&amp;$I$21,'&lt;吸収式&gt;マスタ'!$Z$8:$AB$31,2,0)</f>
        <v>0.36399999999999999</v>
      </c>
      <c r="AN41" s="72">
        <f>VLOOKUP(E41&amp;$I$21,'&lt;吸収式&gt;マスタ'!$Z$8:$AB$31,3,0)</f>
        <v>0</v>
      </c>
      <c r="AO41" s="93">
        <f t="shared" si="4"/>
        <v>0.36399999999999999</v>
      </c>
      <c r="AP41" s="93" t="str">
        <f t="shared" si="5"/>
        <v>○</v>
      </c>
      <c r="AQ41" s="89">
        <f t="shared" si="3"/>
        <v>109.6</v>
      </c>
    </row>
    <row r="42" spans="1:46" ht="15" customHeight="1">
      <c r="B42" s="250"/>
      <c r="C42" s="251"/>
      <c r="D42" s="252"/>
      <c r="E42" s="187">
        <v>11</v>
      </c>
      <c r="F42" s="188"/>
      <c r="G42" s="189" t="str">
        <f>VLOOKUP(E42&amp;$I$21,'&lt;吸収式&gt;マスタ'!Z:AC,4,0)</f>
        <v>暖房</v>
      </c>
      <c r="H42" s="190"/>
      <c r="I42" s="191"/>
      <c r="J42" s="192">
        <f t="shared" si="0"/>
        <v>107.9</v>
      </c>
      <c r="K42" s="193"/>
      <c r="L42" s="194"/>
      <c r="M42" s="195">
        <f t="shared" si="1"/>
        <v>0.154</v>
      </c>
      <c r="N42" s="196"/>
      <c r="O42" s="196"/>
      <c r="P42" s="197"/>
      <c r="Q42" s="198">
        <f>VLOOKUP(E42&amp;G42&amp;$I$21&amp;$I$6,'&lt;吸収式&gt;マスタ'!$AI$8:$AP$151,8,0)</f>
        <v>0.9</v>
      </c>
      <c r="R42" s="199"/>
      <c r="S42" s="200"/>
      <c r="T42" s="201">
        <v>300</v>
      </c>
      <c r="U42" s="202"/>
      <c r="V42" s="203"/>
      <c r="W42" s="204">
        <f t="shared" si="2"/>
        <v>6435.7</v>
      </c>
      <c r="X42" s="193"/>
      <c r="Y42" s="193"/>
      <c r="Z42" s="193"/>
      <c r="AA42" s="205"/>
      <c r="AB42" s="95"/>
      <c r="AC42" s="94"/>
      <c r="AD42" s="94"/>
      <c r="AE42" s="94"/>
      <c r="AF42" s="94"/>
      <c r="AG42" s="94"/>
      <c r="AH42" s="94"/>
      <c r="AI42" s="94"/>
      <c r="AJ42" s="94"/>
      <c r="AM42" s="72">
        <f>VLOOKUP(E42&amp;$I$21,'&lt;吸収式&gt;マスタ'!$Z$8:$AB$31,2,0)</f>
        <v>0</v>
      </c>
      <c r="AN42" s="72">
        <f>VLOOKUP(E42&amp;$I$21,'&lt;吸収式&gt;マスタ'!$Z$8:$AB$31,3,0)</f>
        <v>0.154</v>
      </c>
      <c r="AO42" s="93">
        <f t="shared" si="4"/>
        <v>0.154</v>
      </c>
      <c r="AP42" s="93" t="str">
        <f t="shared" si="5"/>
        <v>○</v>
      </c>
      <c r="AQ42" s="89">
        <f t="shared" si="3"/>
        <v>119.8</v>
      </c>
    </row>
    <row r="43" spans="1:46" ht="15" customHeight="1">
      <c r="B43" s="250"/>
      <c r="C43" s="251"/>
      <c r="D43" s="252"/>
      <c r="E43" s="187">
        <v>12</v>
      </c>
      <c r="F43" s="188"/>
      <c r="G43" s="189" t="str">
        <f>VLOOKUP(E43&amp;$I$21,'&lt;吸収式&gt;マスタ'!Z:AC,4,0)</f>
        <v>暖房</v>
      </c>
      <c r="H43" s="190"/>
      <c r="I43" s="191"/>
      <c r="J43" s="192">
        <f t="shared" si="0"/>
        <v>107.9</v>
      </c>
      <c r="K43" s="193"/>
      <c r="L43" s="194"/>
      <c r="M43" s="195">
        <f t="shared" si="1"/>
        <v>0.371</v>
      </c>
      <c r="N43" s="196"/>
      <c r="O43" s="196"/>
      <c r="P43" s="197"/>
      <c r="Q43" s="198">
        <f>VLOOKUP(E43&amp;G43&amp;$I$21&amp;$I$6,'&lt;吸収式&gt;マスタ'!$AI$8:$AP$151,8,0)</f>
        <v>1</v>
      </c>
      <c r="R43" s="199"/>
      <c r="S43" s="200"/>
      <c r="T43" s="201">
        <v>300</v>
      </c>
      <c r="U43" s="202"/>
      <c r="V43" s="203"/>
      <c r="W43" s="204">
        <f t="shared" si="2"/>
        <v>13964.2</v>
      </c>
      <c r="X43" s="193"/>
      <c r="Y43" s="193"/>
      <c r="Z43" s="193"/>
      <c r="AA43" s="205"/>
      <c r="AB43" s="265" t="s">
        <v>227</v>
      </c>
      <c r="AC43" s="266"/>
      <c r="AD43" s="266"/>
      <c r="AE43" s="266"/>
      <c r="AF43" s="266"/>
      <c r="AG43" s="266"/>
      <c r="AH43" s="266"/>
      <c r="AI43" s="94"/>
      <c r="AJ43" s="94"/>
      <c r="AM43" s="72">
        <f>VLOOKUP(E43&amp;$I$21,'&lt;吸収式&gt;マスタ'!$Z$8:$AB$31,2,0)</f>
        <v>0</v>
      </c>
      <c r="AN43" s="72">
        <f>VLOOKUP(E43&amp;$I$21,'&lt;吸収式&gt;マスタ'!$Z$8:$AB$31,3,0)</f>
        <v>0.371</v>
      </c>
      <c r="AO43" s="93">
        <f t="shared" si="4"/>
        <v>0.371</v>
      </c>
      <c r="AP43" s="93" t="str">
        <f t="shared" si="5"/>
        <v>○</v>
      </c>
      <c r="AQ43" s="89">
        <f t="shared" si="3"/>
        <v>107.9</v>
      </c>
    </row>
    <row r="44" spans="1:46" ht="15" customHeight="1">
      <c r="B44" s="250"/>
      <c r="C44" s="251"/>
      <c r="D44" s="252"/>
      <c r="E44" s="187">
        <v>1</v>
      </c>
      <c r="F44" s="188"/>
      <c r="G44" s="189" t="str">
        <f>VLOOKUP(E44&amp;$I$21,'&lt;吸収式&gt;マスタ'!Z:AC,4,0)</f>
        <v>暖房</v>
      </c>
      <c r="H44" s="190"/>
      <c r="I44" s="191"/>
      <c r="J44" s="192">
        <f t="shared" si="0"/>
        <v>107.9</v>
      </c>
      <c r="K44" s="193"/>
      <c r="L44" s="194"/>
      <c r="M44" s="195">
        <f t="shared" si="1"/>
        <v>0.56200000000000006</v>
      </c>
      <c r="N44" s="196"/>
      <c r="O44" s="196"/>
      <c r="P44" s="197"/>
      <c r="Q44" s="198">
        <f>VLOOKUP(E44&amp;G44&amp;$I$21&amp;$I$6,'&lt;吸収式&gt;マスタ'!$AI$8:$AP$151,8,0)</f>
        <v>1</v>
      </c>
      <c r="R44" s="199"/>
      <c r="S44" s="200"/>
      <c r="T44" s="201">
        <v>300</v>
      </c>
      <c r="U44" s="202"/>
      <c r="V44" s="203"/>
      <c r="W44" s="204">
        <f t="shared" si="2"/>
        <v>21153.4</v>
      </c>
      <c r="X44" s="193"/>
      <c r="Y44" s="193"/>
      <c r="Z44" s="193"/>
      <c r="AA44" s="205"/>
      <c r="AB44" s="265"/>
      <c r="AC44" s="266"/>
      <c r="AD44" s="266"/>
      <c r="AE44" s="266"/>
      <c r="AF44" s="266"/>
      <c r="AG44" s="266"/>
      <c r="AH44" s="266"/>
      <c r="AI44" s="94"/>
      <c r="AJ44" s="94"/>
      <c r="AM44" s="72">
        <f>VLOOKUP(E44&amp;$I$21,'&lt;吸収式&gt;マスタ'!$Z$8:$AB$31,2,0)</f>
        <v>0</v>
      </c>
      <c r="AN44" s="72">
        <f>VLOOKUP(E44&amp;$I$21,'&lt;吸収式&gt;マスタ'!$Z$8:$AB$31,3,0)</f>
        <v>0.56200000000000006</v>
      </c>
      <c r="AO44" s="93">
        <f t="shared" si="4"/>
        <v>0.56200000000000006</v>
      </c>
      <c r="AP44" s="93" t="str">
        <f t="shared" si="5"/>
        <v>○</v>
      </c>
      <c r="AQ44" s="89">
        <f t="shared" si="3"/>
        <v>107.9</v>
      </c>
    </row>
    <row r="45" spans="1:46" ht="15" customHeight="1">
      <c r="A45" s="96"/>
      <c r="B45" s="250"/>
      <c r="C45" s="251"/>
      <c r="D45" s="252"/>
      <c r="E45" s="187">
        <v>2</v>
      </c>
      <c r="F45" s="188"/>
      <c r="G45" s="189" t="str">
        <f>VLOOKUP(E45&amp;$I$21,'&lt;吸収式&gt;マスタ'!Z:AC,4,0)</f>
        <v>暖房</v>
      </c>
      <c r="H45" s="190"/>
      <c r="I45" s="191"/>
      <c r="J45" s="192">
        <f t="shared" si="0"/>
        <v>107.9</v>
      </c>
      <c r="K45" s="193"/>
      <c r="L45" s="194"/>
      <c r="M45" s="195">
        <f t="shared" si="1"/>
        <v>0.56200000000000006</v>
      </c>
      <c r="N45" s="196"/>
      <c r="O45" s="196"/>
      <c r="P45" s="197"/>
      <c r="Q45" s="198">
        <f>VLOOKUP(E45&amp;G45&amp;$I$21&amp;$I$6,'&lt;吸収式&gt;マスタ'!$AI$8:$AP$151,8,0)</f>
        <v>1</v>
      </c>
      <c r="R45" s="199"/>
      <c r="S45" s="200"/>
      <c r="T45" s="201">
        <v>300</v>
      </c>
      <c r="U45" s="202"/>
      <c r="V45" s="203"/>
      <c r="W45" s="204">
        <f t="shared" si="2"/>
        <v>21153.4</v>
      </c>
      <c r="X45" s="193"/>
      <c r="Y45" s="193"/>
      <c r="Z45" s="193"/>
      <c r="AA45" s="205"/>
      <c r="AB45" s="95"/>
      <c r="AC45" s="94"/>
      <c r="AD45" s="94"/>
      <c r="AE45" s="94"/>
      <c r="AF45" s="94"/>
      <c r="AG45" s="94"/>
      <c r="AH45" s="94"/>
      <c r="AI45" s="94"/>
      <c r="AJ45" s="94"/>
      <c r="AM45" s="72">
        <f>VLOOKUP(E45&amp;$I$21,'&lt;吸収式&gt;マスタ'!$Z$8:$AB$31,2,0)</f>
        <v>0</v>
      </c>
      <c r="AN45" s="72">
        <f>VLOOKUP(E45&amp;$I$21,'&lt;吸収式&gt;マスタ'!$Z$8:$AB$31,3,0)</f>
        <v>0.56200000000000006</v>
      </c>
      <c r="AO45" s="93">
        <f t="shared" si="4"/>
        <v>0.56200000000000006</v>
      </c>
      <c r="AP45" s="93" t="str">
        <f t="shared" si="5"/>
        <v>○</v>
      </c>
      <c r="AQ45" s="89">
        <f t="shared" si="3"/>
        <v>107.9</v>
      </c>
    </row>
    <row r="46" spans="1:46" ht="15" customHeight="1" thickBot="1">
      <c r="A46" s="96"/>
      <c r="B46" s="250"/>
      <c r="C46" s="251"/>
      <c r="D46" s="252"/>
      <c r="E46" s="220">
        <v>3</v>
      </c>
      <c r="F46" s="221"/>
      <c r="G46" s="222" t="str">
        <f>VLOOKUP(E46&amp;$I$21,'&lt;吸収式&gt;マスタ'!Z:AC,4,0)</f>
        <v>暖房</v>
      </c>
      <c r="H46" s="223"/>
      <c r="I46" s="224"/>
      <c r="J46" s="225">
        <f t="shared" si="0"/>
        <v>107.9</v>
      </c>
      <c r="K46" s="226"/>
      <c r="L46" s="227"/>
      <c r="M46" s="228">
        <f t="shared" si="1"/>
        <v>0.27300000000000002</v>
      </c>
      <c r="N46" s="229"/>
      <c r="O46" s="229"/>
      <c r="P46" s="230"/>
      <c r="Q46" s="236">
        <f>VLOOKUP(E46&amp;G46&amp;$I$21&amp;$I$6,'&lt;吸収式&gt;マスタ'!$AI$8:$AP$151,8,0)</f>
        <v>0.9</v>
      </c>
      <c r="R46" s="237"/>
      <c r="S46" s="238"/>
      <c r="T46" s="239">
        <v>300</v>
      </c>
      <c r="U46" s="240"/>
      <c r="V46" s="241"/>
      <c r="W46" s="242">
        <f t="shared" si="2"/>
        <v>11408.8</v>
      </c>
      <c r="X46" s="243"/>
      <c r="Y46" s="243"/>
      <c r="Z46" s="243"/>
      <c r="AA46" s="244"/>
      <c r="AB46" s="308" t="s">
        <v>228</v>
      </c>
      <c r="AC46" s="308"/>
      <c r="AD46" s="308"/>
      <c r="AE46" s="308"/>
      <c r="AF46" s="308"/>
      <c r="AG46" s="308"/>
      <c r="AH46" s="308"/>
      <c r="AI46" s="94"/>
      <c r="AJ46" s="94"/>
      <c r="AM46" s="72">
        <f>VLOOKUP(E46&amp;$I$21,'&lt;吸収式&gt;マスタ'!$Z$8:$AB$31,2,0)</f>
        <v>0</v>
      </c>
      <c r="AN46" s="72">
        <f>VLOOKUP(E46&amp;$I$21,'&lt;吸収式&gt;マスタ'!$Z$8:$AB$31,3,0)</f>
        <v>0.27300000000000002</v>
      </c>
      <c r="AO46" s="93">
        <f t="shared" si="4"/>
        <v>0.27300000000000002</v>
      </c>
      <c r="AP46" s="93" t="str">
        <f t="shared" si="5"/>
        <v>○</v>
      </c>
      <c r="AQ46" s="89">
        <f t="shared" si="3"/>
        <v>119.8</v>
      </c>
    </row>
    <row r="47" spans="1:46" ht="15" customHeight="1" thickTop="1">
      <c r="A47" s="96"/>
      <c r="B47" s="253"/>
      <c r="C47" s="254"/>
      <c r="D47" s="255"/>
      <c r="E47" s="297" t="s">
        <v>58</v>
      </c>
      <c r="F47" s="298"/>
      <c r="G47" s="97"/>
      <c r="H47" s="98"/>
      <c r="I47" s="98"/>
      <c r="J47" s="299" t="s">
        <v>90</v>
      </c>
      <c r="K47" s="300"/>
      <c r="L47" s="301"/>
      <c r="M47" s="302" t="s">
        <v>90</v>
      </c>
      <c r="N47" s="303"/>
      <c r="O47" s="303"/>
      <c r="P47" s="304"/>
      <c r="Q47" s="284" t="s">
        <v>90</v>
      </c>
      <c r="R47" s="285"/>
      <c r="S47" s="286"/>
      <c r="T47" s="284">
        <f>SUM(T35:V46)</f>
        <v>3600</v>
      </c>
      <c r="U47" s="285"/>
      <c r="V47" s="286"/>
      <c r="W47" s="305">
        <f>SUM(W35:Y46)</f>
        <v>193577.3</v>
      </c>
      <c r="X47" s="306"/>
      <c r="Y47" s="306"/>
      <c r="Z47" s="306"/>
      <c r="AA47" s="307"/>
      <c r="AB47" s="308"/>
      <c r="AC47" s="308"/>
      <c r="AD47" s="308"/>
      <c r="AE47" s="308"/>
      <c r="AF47" s="308"/>
      <c r="AG47" s="308"/>
      <c r="AH47" s="308"/>
      <c r="AI47" s="94"/>
      <c r="AJ47" s="94"/>
      <c r="AP47" s="50">
        <f>COUNTIF(AP35:AP46,"○")</f>
        <v>12</v>
      </c>
    </row>
    <row r="48" spans="1:46" s="100" customFormat="1" ht="15" customHeight="1">
      <c r="A48" s="47"/>
      <c r="B48" s="99" t="str">
        <f>IF(AP47=12,"指定負荷率使用","")</f>
        <v>指定負荷率使用</v>
      </c>
      <c r="C48" s="99"/>
      <c r="D48" s="99"/>
      <c r="E48" s="99"/>
      <c r="F48" s="99"/>
      <c r="G48" s="245" t="s">
        <v>239</v>
      </c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308"/>
      <c r="AC48" s="308"/>
      <c r="AD48" s="308"/>
      <c r="AE48" s="308"/>
      <c r="AF48" s="308"/>
      <c r="AG48" s="308"/>
      <c r="AH48" s="308"/>
      <c r="AI48" s="47"/>
      <c r="AJ48" s="47"/>
      <c r="AK48" s="47"/>
      <c r="AL48" s="47"/>
      <c r="AM48" s="50"/>
      <c r="AN48" s="50"/>
      <c r="AO48" s="50"/>
      <c r="AP48" s="50"/>
      <c r="AQ48" s="50"/>
      <c r="AT48" s="101"/>
    </row>
    <row r="49" spans="1:46" s="100" customFormat="1" ht="15" customHeight="1">
      <c r="A49" s="96"/>
      <c r="B49" s="276"/>
      <c r="C49" s="276"/>
      <c r="D49" s="102"/>
      <c r="E49" s="102"/>
      <c r="F49" s="102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308"/>
      <c r="AC49" s="308"/>
      <c r="AD49" s="308"/>
      <c r="AE49" s="308"/>
      <c r="AF49" s="308"/>
      <c r="AG49" s="308"/>
      <c r="AH49" s="308"/>
      <c r="AI49" s="103"/>
      <c r="AJ49" s="103"/>
      <c r="AK49" s="47"/>
      <c r="AL49" s="47"/>
      <c r="AM49" s="50"/>
      <c r="AN49" s="50"/>
      <c r="AO49" s="50"/>
      <c r="AP49" s="50"/>
      <c r="AQ49" s="50"/>
      <c r="AT49" s="101"/>
    </row>
    <row r="50" spans="1:46" ht="3" customHeight="1">
      <c r="B50" s="56"/>
      <c r="C50" s="56"/>
      <c r="D50" s="56"/>
      <c r="E50" s="104"/>
      <c r="F50" s="104"/>
      <c r="G50" s="104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105"/>
      <c r="V50" s="105"/>
      <c r="W50" s="106"/>
      <c r="X50" s="106"/>
      <c r="Y50" s="106"/>
      <c r="Z50" s="106"/>
      <c r="AA50" s="106"/>
      <c r="AB50" s="308"/>
      <c r="AC50" s="308"/>
      <c r="AD50" s="308"/>
      <c r="AE50" s="308"/>
      <c r="AF50" s="308"/>
      <c r="AG50" s="308"/>
      <c r="AH50" s="308"/>
      <c r="AI50" s="57"/>
      <c r="AJ50" s="57"/>
    </row>
    <row r="51" spans="1:46" ht="15" customHeight="1">
      <c r="A51" s="47" t="s">
        <v>223</v>
      </c>
      <c r="B51" s="57"/>
      <c r="C51" s="57"/>
      <c r="D51" s="57"/>
      <c r="E51" s="57"/>
      <c r="F51" s="57"/>
      <c r="G51" s="57"/>
      <c r="H51" s="57"/>
      <c r="I51" s="107"/>
      <c r="J51" s="107"/>
      <c r="K51" s="107"/>
      <c r="L51" s="107"/>
      <c r="M51" s="56"/>
      <c r="N51" s="56"/>
      <c r="O51" s="56"/>
      <c r="P51" s="57"/>
      <c r="Q51" s="57"/>
      <c r="R51" s="57"/>
      <c r="S51" s="57"/>
      <c r="T51" s="57"/>
      <c r="U51" s="108"/>
      <c r="V51" s="108"/>
      <c r="W51" s="109"/>
      <c r="X51" s="109"/>
      <c r="Y51" s="109"/>
      <c r="Z51" s="109"/>
      <c r="AA51" s="109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46" ht="15" customHeight="1">
      <c r="B52" s="247" t="s">
        <v>92</v>
      </c>
      <c r="C52" s="248"/>
      <c r="D52" s="249"/>
      <c r="E52" s="173" t="s">
        <v>56</v>
      </c>
      <c r="F52" s="175"/>
      <c r="G52" s="173" t="s">
        <v>14</v>
      </c>
      <c r="H52" s="174"/>
      <c r="I52" s="175"/>
      <c r="J52" s="173" t="s">
        <v>95</v>
      </c>
      <c r="K52" s="174"/>
      <c r="L52" s="174"/>
      <c r="M52" s="174"/>
      <c r="N52" s="174"/>
      <c r="O52" s="174"/>
      <c r="P52" s="174"/>
      <c r="Q52" s="174"/>
      <c r="R52" s="174"/>
      <c r="S52" s="175"/>
      <c r="T52" s="259" t="s">
        <v>110</v>
      </c>
      <c r="U52" s="260"/>
      <c r="V52" s="261"/>
      <c r="W52" s="217" t="s">
        <v>113</v>
      </c>
      <c r="X52" s="218"/>
      <c r="Y52" s="218"/>
      <c r="Z52" s="218"/>
      <c r="AA52" s="219"/>
      <c r="AB52" s="231"/>
      <c r="AC52" s="232"/>
      <c r="AD52" s="232"/>
      <c r="AE52" s="232"/>
      <c r="AF52" s="232"/>
      <c r="AG52" s="232"/>
      <c r="AH52" s="232"/>
      <c r="AI52" s="232"/>
      <c r="AJ52" s="232"/>
      <c r="AM52" s="71" t="s">
        <v>98</v>
      </c>
      <c r="AN52" s="71" t="s">
        <v>99</v>
      </c>
    </row>
    <row r="53" spans="1:46" s="100" customFormat="1" ht="15" customHeight="1" thickBot="1">
      <c r="A53" s="47"/>
      <c r="B53" s="250"/>
      <c r="C53" s="251"/>
      <c r="D53" s="252"/>
      <c r="E53" s="143"/>
      <c r="F53" s="145"/>
      <c r="G53" s="143"/>
      <c r="H53" s="144"/>
      <c r="I53" s="145"/>
      <c r="J53" s="143" t="s">
        <v>112</v>
      </c>
      <c r="K53" s="144"/>
      <c r="L53" s="144"/>
      <c r="M53" s="144"/>
      <c r="N53" s="144"/>
      <c r="O53" s="144"/>
      <c r="P53" s="144"/>
      <c r="Q53" s="144"/>
      <c r="R53" s="144"/>
      <c r="S53" s="145"/>
      <c r="T53" s="233" t="s">
        <v>132</v>
      </c>
      <c r="U53" s="234"/>
      <c r="V53" s="235"/>
      <c r="W53" s="256" t="s">
        <v>115</v>
      </c>
      <c r="X53" s="257"/>
      <c r="Y53" s="257"/>
      <c r="Z53" s="257"/>
      <c r="AA53" s="258"/>
      <c r="AB53" s="207"/>
      <c r="AC53" s="208"/>
      <c r="AD53" s="208"/>
      <c r="AE53" s="208"/>
      <c r="AF53" s="208"/>
      <c r="AG53" s="208"/>
      <c r="AH53" s="208"/>
      <c r="AI53" s="208"/>
      <c r="AJ53" s="208"/>
      <c r="AK53" s="47"/>
      <c r="AL53" s="47"/>
      <c r="AM53" s="71">
        <f>VLOOKUP(I18,'&lt;吸収式&gt;マスタ'!F7:M14,7,0)</f>
        <v>0.86</v>
      </c>
      <c r="AN53" s="71">
        <f>VLOOKUP(I18,'&lt;吸収式&gt;マスタ'!F7:M14,8,0)</f>
        <v>39.1</v>
      </c>
      <c r="AO53" s="110"/>
      <c r="AP53" s="110"/>
      <c r="AQ53" s="110"/>
      <c r="AT53" s="101"/>
    </row>
    <row r="54" spans="1:46" s="100" customFormat="1" ht="15" customHeight="1" thickTop="1">
      <c r="A54" s="47"/>
      <c r="B54" s="250"/>
      <c r="C54" s="251"/>
      <c r="D54" s="252"/>
      <c r="E54" s="187">
        <v>4</v>
      </c>
      <c r="F54" s="209"/>
      <c r="G54" s="210" t="str">
        <f>G35</f>
        <v>暖房</v>
      </c>
      <c r="H54" s="211"/>
      <c r="I54" s="211"/>
      <c r="J54" s="212">
        <f t="shared" ref="J54:J65" si="6">IF(G54="冷房",$AN$29,0)</f>
        <v>0</v>
      </c>
      <c r="K54" s="213"/>
      <c r="L54" s="213"/>
      <c r="M54" s="213"/>
      <c r="N54" s="213"/>
      <c r="O54" s="213"/>
      <c r="P54" s="213"/>
      <c r="Q54" s="213"/>
      <c r="R54" s="213"/>
      <c r="S54" s="214"/>
      <c r="T54" s="215">
        <f t="shared" ref="T54:T65" si="7">T35</f>
        <v>300</v>
      </c>
      <c r="U54" s="216"/>
      <c r="V54" s="216"/>
      <c r="W54" s="184">
        <f t="shared" ref="W54:W65" si="8">ROUNDDOWN(J54*T54*$I$23,1)</f>
        <v>0</v>
      </c>
      <c r="X54" s="185"/>
      <c r="Y54" s="185"/>
      <c r="Z54" s="185"/>
      <c r="AA54" s="186"/>
      <c r="AB54" s="206"/>
      <c r="AC54" s="206"/>
      <c r="AD54" s="206"/>
      <c r="AE54" s="206"/>
      <c r="AF54" s="206"/>
      <c r="AG54" s="206"/>
      <c r="AH54" s="206"/>
      <c r="AI54" s="206"/>
      <c r="AJ54" s="206"/>
      <c r="AK54" s="47"/>
      <c r="AL54" s="47"/>
      <c r="AM54" s="50"/>
      <c r="AN54" s="50"/>
      <c r="AO54" s="50"/>
      <c r="AP54" s="50"/>
      <c r="AQ54" s="50"/>
      <c r="AT54" s="101"/>
    </row>
    <row r="55" spans="1:46" s="100" customFormat="1" ht="15" customHeight="1">
      <c r="A55" s="47"/>
      <c r="B55" s="250"/>
      <c r="C55" s="251"/>
      <c r="D55" s="252"/>
      <c r="E55" s="187">
        <v>5</v>
      </c>
      <c r="F55" s="209"/>
      <c r="G55" s="210" t="str">
        <f t="shared" ref="G55:G65" si="9">G36</f>
        <v>冷房</v>
      </c>
      <c r="H55" s="211"/>
      <c r="I55" s="211"/>
      <c r="J55" s="212">
        <f t="shared" si="6"/>
        <v>42.7</v>
      </c>
      <c r="K55" s="213"/>
      <c r="L55" s="213"/>
      <c r="M55" s="213"/>
      <c r="N55" s="213"/>
      <c r="O55" s="213"/>
      <c r="P55" s="213"/>
      <c r="Q55" s="213"/>
      <c r="R55" s="213"/>
      <c r="S55" s="214"/>
      <c r="T55" s="215">
        <f t="shared" si="7"/>
        <v>300</v>
      </c>
      <c r="U55" s="216"/>
      <c r="V55" s="216"/>
      <c r="W55" s="204">
        <f t="shared" si="8"/>
        <v>12810</v>
      </c>
      <c r="X55" s="193"/>
      <c r="Y55" s="193"/>
      <c r="Z55" s="193"/>
      <c r="AA55" s="205"/>
      <c r="AB55" s="206"/>
      <c r="AC55" s="206"/>
      <c r="AD55" s="206"/>
      <c r="AE55" s="206"/>
      <c r="AF55" s="206"/>
      <c r="AG55" s="206"/>
      <c r="AH55" s="206"/>
      <c r="AI55" s="206"/>
      <c r="AJ55" s="206"/>
      <c r="AK55" s="47"/>
      <c r="AL55" s="47"/>
      <c r="AM55" s="50"/>
      <c r="AN55" s="50"/>
      <c r="AO55" s="50"/>
      <c r="AP55" s="50"/>
      <c r="AQ55" s="50"/>
      <c r="AT55" s="101"/>
    </row>
    <row r="56" spans="1:46" s="100" customFormat="1" ht="15" customHeight="1">
      <c r="A56" s="47"/>
      <c r="B56" s="250"/>
      <c r="C56" s="251"/>
      <c r="D56" s="252"/>
      <c r="E56" s="187">
        <v>6</v>
      </c>
      <c r="F56" s="209"/>
      <c r="G56" s="210" t="str">
        <f t="shared" si="9"/>
        <v>冷房</v>
      </c>
      <c r="H56" s="211"/>
      <c r="I56" s="211"/>
      <c r="J56" s="212">
        <f t="shared" si="6"/>
        <v>42.7</v>
      </c>
      <c r="K56" s="213"/>
      <c r="L56" s="213"/>
      <c r="M56" s="213"/>
      <c r="N56" s="213"/>
      <c r="O56" s="213"/>
      <c r="P56" s="213"/>
      <c r="Q56" s="213"/>
      <c r="R56" s="213"/>
      <c r="S56" s="214"/>
      <c r="T56" s="215">
        <f t="shared" si="7"/>
        <v>300</v>
      </c>
      <c r="U56" s="216"/>
      <c r="V56" s="216"/>
      <c r="W56" s="204">
        <f t="shared" si="8"/>
        <v>12810</v>
      </c>
      <c r="X56" s="193"/>
      <c r="Y56" s="193"/>
      <c r="Z56" s="193"/>
      <c r="AA56" s="205"/>
      <c r="AB56" s="206"/>
      <c r="AC56" s="206"/>
      <c r="AD56" s="206"/>
      <c r="AE56" s="206"/>
      <c r="AF56" s="206"/>
      <c r="AG56" s="206"/>
      <c r="AH56" s="206"/>
      <c r="AI56" s="206"/>
      <c r="AJ56" s="206"/>
      <c r="AK56" s="47"/>
      <c r="AL56" s="47"/>
      <c r="AM56" s="50"/>
      <c r="AN56" s="50"/>
      <c r="AO56" s="50"/>
      <c r="AP56" s="50"/>
      <c r="AQ56" s="50"/>
      <c r="AT56" s="101"/>
    </row>
    <row r="57" spans="1:46" s="100" customFormat="1" ht="15" customHeight="1">
      <c r="A57" s="47"/>
      <c r="B57" s="250"/>
      <c r="C57" s="251"/>
      <c r="D57" s="252"/>
      <c r="E57" s="187">
        <v>7</v>
      </c>
      <c r="F57" s="209"/>
      <c r="G57" s="210" t="str">
        <f t="shared" si="9"/>
        <v>冷房</v>
      </c>
      <c r="H57" s="211"/>
      <c r="I57" s="211"/>
      <c r="J57" s="212">
        <f t="shared" si="6"/>
        <v>42.7</v>
      </c>
      <c r="K57" s="213"/>
      <c r="L57" s="213"/>
      <c r="M57" s="213"/>
      <c r="N57" s="213"/>
      <c r="O57" s="213"/>
      <c r="P57" s="213"/>
      <c r="Q57" s="213"/>
      <c r="R57" s="213"/>
      <c r="S57" s="214"/>
      <c r="T57" s="215">
        <f t="shared" si="7"/>
        <v>300</v>
      </c>
      <c r="U57" s="216"/>
      <c r="V57" s="216"/>
      <c r="W57" s="204">
        <f t="shared" si="8"/>
        <v>12810</v>
      </c>
      <c r="X57" s="193"/>
      <c r="Y57" s="193"/>
      <c r="Z57" s="193"/>
      <c r="AA57" s="205"/>
      <c r="AB57" s="206"/>
      <c r="AC57" s="206"/>
      <c r="AD57" s="206"/>
      <c r="AE57" s="206"/>
      <c r="AF57" s="206"/>
      <c r="AG57" s="206"/>
      <c r="AH57" s="206"/>
      <c r="AI57" s="206"/>
      <c r="AJ57" s="206"/>
      <c r="AK57" s="47"/>
      <c r="AL57" s="47"/>
      <c r="AM57" s="50"/>
      <c r="AN57" s="50"/>
      <c r="AO57" s="50"/>
      <c r="AP57" s="50"/>
      <c r="AQ57" s="50"/>
      <c r="AT57" s="101"/>
    </row>
    <row r="58" spans="1:46" s="100" customFormat="1" ht="15" customHeight="1">
      <c r="A58" s="47"/>
      <c r="B58" s="250"/>
      <c r="C58" s="251"/>
      <c r="D58" s="252"/>
      <c r="E58" s="187">
        <v>8</v>
      </c>
      <c r="F58" s="209"/>
      <c r="G58" s="210" t="str">
        <f t="shared" si="9"/>
        <v>冷房</v>
      </c>
      <c r="H58" s="211"/>
      <c r="I58" s="211"/>
      <c r="J58" s="212">
        <f t="shared" si="6"/>
        <v>42.7</v>
      </c>
      <c r="K58" s="213"/>
      <c r="L58" s="213"/>
      <c r="M58" s="213"/>
      <c r="N58" s="213"/>
      <c r="O58" s="213"/>
      <c r="P58" s="213"/>
      <c r="Q58" s="213"/>
      <c r="R58" s="213"/>
      <c r="S58" s="214"/>
      <c r="T58" s="215">
        <f t="shared" si="7"/>
        <v>300</v>
      </c>
      <c r="U58" s="216"/>
      <c r="V58" s="216"/>
      <c r="W58" s="204">
        <f t="shared" si="8"/>
        <v>12810</v>
      </c>
      <c r="X58" s="193"/>
      <c r="Y58" s="193"/>
      <c r="Z58" s="193"/>
      <c r="AA58" s="205"/>
      <c r="AB58" s="206"/>
      <c r="AC58" s="206"/>
      <c r="AD58" s="206"/>
      <c r="AE58" s="206"/>
      <c r="AF58" s="206"/>
      <c r="AG58" s="206"/>
      <c r="AH58" s="206"/>
      <c r="AI58" s="206"/>
      <c r="AJ58" s="206"/>
      <c r="AK58" s="47"/>
      <c r="AL58" s="47"/>
      <c r="AM58" s="50"/>
      <c r="AN58" s="50"/>
      <c r="AO58" s="50"/>
      <c r="AP58" s="50"/>
      <c r="AQ58" s="50"/>
      <c r="AT58" s="101"/>
    </row>
    <row r="59" spans="1:46" s="100" customFormat="1" ht="15" customHeight="1">
      <c r="A59" s="47"/>
      <c r="B59" s="250"/>
      <c r="C59" s="251"/>
      <c r="D59" s="252"/>
      <c r="E59" s="187">
        <v>9</v>
      </c>
      <c r="F59" s="209"/>
      <c r="G59" s="210" t="str">
        <f t="shared" si="9"/>
        <v>冷房</v>
      </c>
      <c r="H59" s="211"/>
      <c r="I59" s="211"/>
      <c r="J59" s="212">
        <f t="shared" si="6"/>
        <v>42.7</v>
      </c>
      <c r="K59" s="213"/>
      <c r="L59" s="213"/>
      <c r="M59" s="213"/>
      <c r="N59" s="213"/>
      <c r="O59" s="213"/>
      <c r="P59" s="213"/>
      <c r="Q59" s="213"/>
      <c r="R59" s="213"/>
      <c r="S59" s="214"/>
      <c r="T59" s="215">
        <f t="shared" si="7"/>
        <v>300</v>
      </c>
      <c r="U59" s="216"/>
      <c r="V59" s="216"/>
      <c r="W59" s="204">
        <f t="shared" si="8"/>
        <v>12810</v>
      </c>
      <c r="X59" s="193"/>
      <c r="Y59" s="193"/>
      <c r="Z59" s="193"/>
      <c r="AA59" s="205"/>
      <c r="AB59" s="206"/>
      <c r="AC59" s="206"/>
      <c r="AD59" s="206"/>
      <c r="AE59" s="206"/>
      <c r="AF59" s="206"/>
      <c r="AG59" s="206"/>
      <c r="AH59" s="206"/>
      <c r="AI59" s="206"/>
      <c r="AJ59" s="206"/>
      <c r="AK59" s="47"/>
      <c r="AL59" s="47"/>
      <c r="AM59" s="50"/>
      <c r="AN59" s="50"/>
      <c r="AO59" s="50"/>
      <c r="AP59" s="50"/>
      <c r="AQ59" s="50"/>
      <c r="AT59" s="101"/>
    </row>
    <row r="60" spans="1:46" ht="15" customHeight="1">
      <c r="B60" s="250"/>
      <c r="C60" s="251"/>
      <c r="D60" s="252"/>
      <c r="E60" s="187">
        <v>10</v>
      </c>
      <c r="F60" s="209"/>
      <c r="G60" s="210" t="str">
        <f t="shared" si="9"/>
        <v>冷房</v>
      </c>
      <c r="H60" s="211"/>
      <c r="I60" s="211"/>
      <c r="J60" s="212">
        <f t="shared" si="6"/>
        <v>42.7</v>
      </c>
      <c r="K60" s="213"/>
      <c r="L60" s="213"/>
      <c r="M60" s="213"/>
      <c r="N60" s="213"/>
      <c r="O60" s="213"/>
      <c r="P60" s="213"/>
      <c r="Q60" s="213"/>
      <c r="R60" s="213"/>
      <c r="S60" s="214"/>
      <c r="T60" s="215">
        <f t="shared" si="7"/>
        <v>300</v>
      </c>
      <c r="U60" s="216"/>
      <c r="V60" s="216"/>
      <c r="W60" s="204">
        <f t="shared" si="8"/>
        <v>12810</v>
      </c>
      <c r="X60" s="193"/>
      <c r="Y60" s="193"/>
      <c r="Z60" s="193"/>
      <c r="AA60" s="205"/>
      <c r="AB60" s="206"/>
      <c r="AC60" s="206"/>
      <c r="AD60" s="206"/>
      <c r="AE60" s="206"/>
      <c r="AF60" s="206"/>
      <c r="AG60" s="206"/>
      <c r="AH60" s="206"/>
      <c r="AI60" s="206"/>
      <c r="AJ60" s="206"/>
    </row>
    <row r="61" spans="1:46" ht="15" customHeight="1">
      <c r="B61" s="250"/>
      <c r="C61" s="251"/>
      <c r="D61" s="252"/>
      <c r="E61" s="187">
        <v>11</v>
      </c>
      <c r="F61" s="209"/>
      <c r="G61" s="210" t="str">
        <f t="shared" si="9"/>
        <v>暖房</v>
      </c>
      <c r="H61" s="211"/>
      <c r="I61" s="211"/>
      <c r="J61" s="212">
        <f t="shared" si="6"/>
        <v>0</v>
      </c>
      <c r="K61" s="213"/>
      <c r="L61" s="213"/>
      <c r="M61" s="213"/>
      <c r="N61" s="213"/>
      <c r="O61" s="213"/>
      <c r="P61" s="213"/>
      <c r="Q61" s="213"/>
      <c r="R61" s="213"/>
      <c r="S61" s="214"/>
      <c r="T61" s="215">
        <f t="shared" si="7"/>
        <v>300</v>
      </c>
      <c r="U61" s="216"/>
      <c r="V61" s="216"/>
      <c r="W61" s="204">
        <f t="shared" si="8"/>
        <v>0</v>
      </c>
      <c r="X61" s="193"/>
      <c r="Y61" s="193"/>
      <c r="Z61" s="193"/>
      <c r="AA61" s="205"/>
      <c r="AB61" s="206"/>
      <c r="AC61" s="206"/>
      <c r="AD61" s="206"/>
      <c r="AE61" s="206"/>
      <c r="AF61" s="206"/>
      <c r="AG61" s="206"/>
      <c r="AH61" s="206"/>
      <c r="AI61" s="206"/>
      <c r="AJ61" s="206"/>
    </row>
    <row r="62" spans="1:46" s="100" customFormat="1" ht="15" customHeight="1">
      <c r="A62" s="47"/>
      <c r="B62" s="250"/>
      <c r="C62" s="251"/>
      <c r="D62" s="252"/>
      <c r="E62" s="187">
        <v>12</v>
      </c>
      <c r="F62" s="209"/>
      <c r="G62" s="210" t="str">
        <f t="shared" si="9"/>
        <v>暖房</v>
      </c>
      <c r="H62" s="211"/>
      <c r="I62" s="211"/>
      <c r="J62" s="212">
        <f t="shared" si="6"/>
        <v>0</v>
      </c>
      <c r="K62" s="213"/>
      <c r="L62" s="213"/>
      <c r="M62" s="213"/>
      <c r="N62" s="213"/>
      <c r="O62" s="213"/>
      <c r="P62" s="213"/>
      <c r="Q62" s="213"/>
      <c r="R62" s="213"/>
      <c r="S62" s="214"/>
      <c r="T62" s="215">
        <f t="shared" si="7"/>
        <v>300</v>
      </c>
      <c r="U62" s="216"/>
      <c r="V62" s="216"/>
      <c r="W62" s="204">
        <f t="shared" si="8"/>
        <v>0</v>
      </c>
      <c r="X62" s="193"/>
      <c r="Y62" s="193"/>
      <c r="Z62" s="193"/>
      <c r="AA62" s="205"/>
      <c r="AB62" s="206"/>
      <c r="AC62" s="206"/>
      <c r="AD62" s="206"/>
      <c r="AE62" s="206"/>
      <c r="AF62" s="206"/>
      <c r="AG62" s="206"/>
      <c r="AH62" s="206"/>
      <c r="AI62" s="206"/>
      <c r="AJ62" s="206"/>
      <c r="AK62" s="47"/>
      <c r="AL62" s="47"/>
      <c r="AM62" s="50"/>
      <c r="AN62" s="50"/>
      <c r="AO62" s="50"/>
      <c r="AP62" s="50"/>
      <c r="AQ62" s="50"/>
      <c r="AT62" s="101"/>
    </row>
    <row r="63" spans="1:46" s="100" customFormat="1" ht="15" customHeight="1">
      <c r="A63" s="47"/>
      <c r="B63" s="250"/>
      <c r="C63" s="251"/>
      <c r="D63" s="252"/>
      <c r="E63" s="187">
        <v>1</v>
      </c>
      <c r="F63" s="209"/>
      <c r="G63" s="210" t="str">
        <f t="shared" si="9"/>
        <v>暖房</v>
      </c>
      <c r="H63" s="211"/>
      <c r="I63" s="211"/>
      <c r="J63" s="212">
        <f t="shared" si="6"/>
        <v>0</v>
      </c>
      <c r="K63" s="213"/>
      <c r="L63" s="213"/>
      <c r="M63" s="213"/>
      <c r="N63" s="213"/>
      <c r="O63" s="213"/>
      <c r="P63" s="213"/>
      <c r="Q63" s="213"/>
      <c r="R63" s="213"/>
      <c r="S63" s="214"/>
      <c r="T63" s="215">
        <f t="shared" si="7"/>
        <v>300</v>
      </c>
      <c r="U63" s="216"/>
      <c r="V63" s="216"/>
      <c r="W63" s="204">
        <f t="shared" si="8"/>
        <v>0</v>
      </c>
      <c r="X63" s="193"/>
      <c r="Y63" s="193"/>
      <c r="Z63" s="193"/>
      <c r="AA63" s="205"/>
      <c r="AB63" s="206"/>
      <c r="AC63" s="206"/>
      <c r="AD63" s="206"/>
      <c r="AE63" s="206"/>
      <c r="AF63" s="206"/>
      <c r="AG63" s="206"/>
      <c r="AH63" s="206"/>
      <c r="AI63" s="206"/>
      <c r="AJ63" s="206"/>
      <c r="AK63" s="47"/>
      <c r="AL63" s="47"/>
      <c r="AM63" s="50"/>
      <c r="AN63" s="50"/>
      <c r="AO63" s="50"/>
      <c r="AP63" s="50"/>
      <c r="AQ63" s="50"/>
      <c r="AT63" s="101"/>
    </row>
    <row r="64" spans="1:46" s="100" customFormat="1" ht="15" customHeight="1">
      <c r="A64" s="47"/>
      <c r="B64" s="250"/>
      <c r="C64" s="251"/>
      <c r="D64" s="252"/>
      <c r="E64" s="187">
        <v>2</v>
      </c>
      <c r="F64" s="209"/>
      <c r="G64" s="210" t="str">
        <f t="shared" si="9"/>
        <v>暖房</v>
      </c>
      <c r="H64" s="211"/>
      <c r="I64" s="211"/>
      <c r="J64" s="212">
        <f t="shared" si="6"/>
        <v>0</v>
      </c>
      <c r="K64" s="213"/>
      <c r="L64" s="213"/>
      <c r="M64" s="213"/>
      <c r="N64" s="213"/>
      <c r="O64" s="213"/>
      <c r="P64" s="213"/>
      <c r="Q64" s="213"/>
      <c r="R64" s="213"/>
      <c r="S64" s="214"/>
      <c r="T64" s="215">
        <f t="shared" si="7"/>
        <v>300</v>
      </c>
      <c r="U64" s="216"/>
      <c r="V64" s="216"/>
      <c r="W64" s="204">
        <f t="shared" si="8"/>
        <v>0</v>
      </c>
      <c r="X64" s="193"/>
      <c r="Y64" s="193"/>
      <c r="Z64" s="193"/>
      <c r="AA64" s="205"/>
      <c r="AB64" s="206"/>
      <c r="AC64" s="206"/>
      <c r="AD64" s="206"/>
      <c r="AE64" s="206"/>
      <c r="AF64" s="206"/>
      <c r="AG64" s="206"/>
      <c r="AH64" s="206"/>
      <c r="AI64" s="206"/>
      <c r="AJ64" s="206"/>
      <c r="AK64" s="47"/>
      <c r="AL64" s="47"/>
      <c r="AM64" s="50"/>
      <c r="AN64" s="50"/>
      <c r="AO64" s="50"/>
      <c r="AP64" s="50"/>
      <c r="AQ64" s="50"/>
      <c r="AT64" s="101"/>
    </row>
    <row r="65" spans="1:46" s="100" customFormat="1" ht="15" customHeight="1" thickBot="1">
      <c r="A65" s="47"/>
      <c r="B65" s="250"/>
      <c r="C65" s="251"/>
      <c r="D65" s="252"/>
      <c r="E65" s="187">
        <v>3</v>
      </c>
      <c r="F65" s="209"/>
      <c r="G65" s="210" t="str">
        <f t="shared" si="9"/>
        <v>暖房</v>
      </c>
      <c r="H65" s="211"/>
      <c r="I65" s="211"/>
      <c r="J65" s="212">
        <f t="shared" si="6"/>
        <v>0</v>
      </c>
      <c r="K65" s="213"/>
      <c r="L65" s="213"/>
      <c r="M65" s="213"/>
      <c r="N65" s="213"/>
      <c r="O65" s="213"/>
      <c r="P65" s="213"/>
      <c r="Q65" s="213"/>
      <c r="R65" s="213"/>
      <c r="S65" s="214"/>
      <c r="T65" s="292">
        <f t="shared" si="7"/>
        <v>300</v>
      </c>
      <c r="U65" s="293"/>
      <c r="V65" s="293"/>
      <c r="W65" s="294">
        <f t="shared" si="8"/>
        <v>0</v>
      </c>
      <c r="X65" s="295"/>
      <c r="Y65" s="295"/>
      <c r="Z65" s="295"/>
      <c r="AA65" s="296"/>
      <c r="AB65" s="206"/>
      <c r="AC65" s="206"/>
      <c r="AD65" s="206"/>
      <c r="AE65" s="206"/>
      <c r="AF65" s="206"/>
      <c r="AG65" s="206"/>
      <c r="AH65" s="206"/>
      <c r="AI65" s="206"/>
      <c r="AJ65" s="206"/>
      <c r="AK65" s="47"/>
      <c r="AL65" s="47"/>
      <c r="AM65" s="50"/>
      <c r="AN65" s="50"/>
      <c r="AO65" s="50"/>
      <c r="AP65" s="50"/>
      <c r="AQ65" s="50"/>
      <c r="AT65" s="101"/>
    </row>
    <row r="66" spans="1:46" s="100" customFormat="1" ht="15" customHeight="1" thickTop="1">
      <c r="A66" s="47"/>
      <c r="B66" s="253"/>
      <c r="C66" s="254"/>
      <c r="D66" s="255"/>
      <c r="E66" s="277" t="s">
        <v>58</v>
      </c>
      <c r="F66" s="278"/>
      <c r="G66" s="279"/>
      <c r="H66" s="280"/>
      <c r="I66" s="280"/>
      <c r="J66" s="281" t="s">
        <v>90</v>
      </c>
      <c r="K66" s="282"/>
      <c r="L66" s="282"/>
      <c r="M66" s="282"/>
      <c r="N66" s="282"/>
      <c r="O66" s="282"/>
      <c r="P66" s="282"/>
      <c r="Q66" s="282"/>
      <c r="R66" s="282"/>
      <c r="S66" s="283"/>
      <c r="T66" s="284">
        <f>SUM(T54:V65)</f>
        <v>3600</v>
      </c>
      <c r="U66" s="285"/>
      <c r="V66" s="286"/>
      <c r="W66" s="287">
        <f>SUM(W54:AA65)</f>
        <v>76860</v>
      </c>
      <c r="X66" s="288"/>
      <c r="Y66" s="288"/>
      <c r="Z66" s="288"/>
      <c r="AA66" s="289"/>
      <c r="AB66" s="290"/>
      <c r="AC66" s="291"/>
      <c r="AD66" s="291"/>
      <c r="AE66" s="291"/>
      <c r="AF66" s="291"/>
      <c r="AG66" s="291"/>
      <c r="AH66" s="291"/>
      <c r="AI66" s="291"/>
      <c r="AJ66" s="291"/>
      <c r="AK66" s="47"/>
      <c r="AL66" s="47"/>
      <c r="AM66" s="50"/>
      <c r="AN66" s="50"/>
      <c r="AO66" s="50"/>
      <c r="AP66" s="50"/>
      <c r="AQ66" s="50"/>
      <c r="AT66" s="101"/>
    </row>
    <row r="67" spans="1:46" s="100" customFormat="1" ht="15" customHeight="1">
      <c r="A67" s="47"/>
      <c r="C67" s="99"/>
      <c r="D67" s="99"/>
      <c r="E67" s="99"/>
      <c r="F67" s="99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50"/>
      <c r="AN67" s="50"/>
      <c r="AO67" s="50"/>
      <c r="AP67" s="50"/>
      <c r="AQ67" s="50"/>
      <c r="AT67" s="101"/>
    </row>
    <row r="68" spans="1:46" s="100" customFormat="1" ht="15" customHeight="1">
      <c r="A68" s="96"/>
      <c r="B68" s="276"/>
      <c r="C68" s="276"/>
      <c r="D68" s="102"/>
      <c r="E68" s="102"/>
      <c r="F68" s="10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03"/>
      <c r="AC68" s="103"/>
      <c r="AD68" s="103"/>
      <c r="AE68" s="103"/>
      <c r="AF68" s="103"/>
      <c r="AG68" s="103"/>
      <c r="AH68" s="103"/>
      <c r="AI68" s="103"/>
      <c r="AJ68" s="103"/>
      <c r="AK68" s="47"/>
      <c r="AL68" s="47"/>
      <c r="AM68" s="50"/>
      <c r="AN68" s="50"/>
      <c r="AO68" s="50"/>
      <c r="AP68" s="50"/>
      <c r="AQ68" s="50"/>
      <c r="AT68" s="101"/>
    </row>
    <row r="69" spans="1:46" s="100" customFormat="1" ht="1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50"/>
      <c r="AN69" s="50"/>
      <c r="AO69" s="50"/>
      <c r="AP69" s="50"/>
      <c r="AQ69" s="50"/>
      <c r="AT69" s="101"/>
    </row>
    <row r="70" spans="1:46" s="100" customFormat="1" ht="1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50"/>
      <c r="AN70" s="50"/>
      <c r="AO70" s="50"/>
      <c r="AP70" s="50"/>
      <c r="AQ70" s="50"/>
      <c r="AT70" s="101"/>
    </row>
    <row r="71" spans="1:46" s="47" customFormat="1" ht="38.25" customHeight="1">
      <c r="AM71" s="50"/>
      <c r="AN71" s="50"/>
      <c r="AO71" s="50"/>
      <c r="AP71" s="50"/>
      <c r="AQ71" s="50"/>
      <c r="AT71" s="113"/>
    </row>
    <row r="72" spans="1:46" s="100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50"/>
      <c r="AN72" s="50"/>
      <c r="AO72" s="50"/>
      <c r="AP72" s="50"/>
      <c r="AQ72" s="50"/>
      <c r="AT72" s="101"/>
    </row>
    <row r="73" spans="1:46" s="100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50"/>
      <c r="AN73" s="50"/>
      <c r="AO73" s="50"/>
      <c r="AP73" s="50"/>
      <c r="AQ73" s="50"/>
      <c r="AT73" s="101"/>
    </row>
    <row r="74" spans="1:46" s="100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50"/>
      <c r="AN74" s="50"/>
      <c r="AO74" s="50"/>
      <c r="AP74" s="50"/>
      <c r="AQ74" s="50"/>
      <c r="AT74" s="101"/>
    </row>
    <row r="75" spans="1:46" s="100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50"/>
      <c r="AN75" s="50"/>
      <c r="AO75" s="50"/>
      <c r="AP75" s="50"/>
      <c r="AQ75" s="50"/>
      <c r="AT75" s="101"/>
    </row>
    <row r="76" spans="1:46" s="100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50"/>
      <c r="AN76" s="50"/>
      <c r="AO76" s="50"/>
      <c r="AP76" s="50"/>
      <c r="AQ76" s="50"/>
      <c r="AT76" s="101"/>
    </row>
    <row r="77" spans="1:46" s="100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50"/>
      <c r="AN77" s="50"/>
      <c r="AO77" s="50"/>
      <c r="AP77" s="50"/>
      <c r="AQ77" s="50"/>
      <c r="AT77" s="101"/>
    </row>
    <row r="78" spans="1:46" s="100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50"/>
      <c r="AN78" s="50"/>
      <c r="AO78" s="50"/>
      <c r="AP78" s="50"/>
      <c r="AQ78" s="50"/>
      <c r="AT78" s="101"/>
    </row>
    <row r="79" spans="1:46" s="100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50"/>
      <c r="AN79" s="50"/>
      <c r="AO79" s="50"/>
      <c r="AP79" s="50"/>
      <c r="AQ79" s="50"/>
      <c r="AT79" s="101"/>
    </row>
    <row r="80" spans="1:46" s="100" customFormat="1" ht="13.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50"/>
      <c r="AN80" s="50"/>
      <c r="AO80" s="50"/>
      <c r="AP80" s="50"/>
      <c r="AQ80" s="50"/>
      <c r="AT80" s="101"/>
    </row>
    <row r="81" spans="1:46" s="100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50"/>
      <c r="AN81" s="50"/>
      <c r="AO81" s="50"/>
      <c r="AP81" s="50"/>
      <c r="AQ81" s="50"/>
      <c r="AT81" s="101"/>
    </row>
    <row r="84" spans="1:46" s="100" customFormat="1" ht="12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50"/>
      <c r="AN84" s="50"/>
      <c r="AO84" s="50"/>
      <c r="AP84" s="50"/>
      <c r="AQ84" s="50"/>
      <c r="AT84" s="101"/>
    </row>
    <row r="85" spans="1:46" s="100" customFormat="1" ht="12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50"/>
      <c r="AN85" s="50"/>
      <c r="AO85" s="50"/>
      <c r="AP85" s="50"/>
      <c r="AQ85" s="50"/>
      <c r="AT85" s="101"/>
    </row>
    <row r="86" spans="1:46" s="100" customFormat="1" ht="1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50"/>
      <c r="AN86" s="50"/>
      <c r="AO86" s="50"/>
      <c r="AP86" s="50"/>
      <c r="AQ86" s="50"/>
      <c r="AT86" s="101"/>
    </row>
    <row r="87" spans="1:46" s="100" customFormat="1" ht="12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50"/>
      <c r="AN87" s="50"/>
      <c r="AO87" s="50"/>
      <c r="AP87" s="50"/>
      <c r="AQ87" s="50"/>
      <c r="AT87" s="101"/>
    </row>
    <row r="88" spans="1:46" s="100" customFormat="1" ht="12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50"/>
      <c r="AN88" s="50"/>
      <c r="AO88" s="50"/>
      <c r="AP88" s="50"/>
      <c r="AQ88" s="50"/>
      <c r="AT88" s="101"/>
    </row>
    <row r="89" spans="1:46" s="100" customFormat="1" ht="12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50"/>
      <c r="AN89" s="50"/>
      <c r="AO89" s="50"/>
      <c r="AP89" s="50"/>
      <c r="AQ89" s="50"/>
      <c r="AT89" s="101"/>
    </row>
    <row r="90" spans="1:46" s="100" customFormat="1" ht="12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50"/>
      <c r="AN90" s="50"/>
      <c r="AO90" s="50"/>
      <c r="AP90" s="50"/>
      <c r="AQ90" s="50"/>
      <c r="AT90" s="101"/>
    </row>
    <row r="91" spans="1:46" s="100" customFormat="1" ht="12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50"/>
      <c r="AN91" s="50"/>
      <c r="AO91" s="50"/>
      <c r="AP91" s="50"/>
      <c r="AQ91" s="50"/>
      <c r="AT91" s="101"/>
    </row>
    <row r="92" spans="1:46" s="100" customFormat="1" ht="12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50"/>
      <c r="AN92" s="50"/>
      <c r="AO92" s="50"/>
      <c r="AP92" s="50"/>
      <c r="AQ92" s="50"/>
      <c r="AT92" s="101"/>
    </row>
    <row r="93" spans="1:46" s="100" customFormat="1" ht="12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50"/>
      <c r="AN93" s="50"/>
      <c r="AO93" s="50"/>
      <c r="AP93" s="50"/>
      <c r="AQ93" s="50"/>
      <c r="AT93" s="101"/>
    </row>
    <row r="94" spans="1:46" s="100" customFormat="1" ht="12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50"/>
      <c r="AN94" s="50"/>
      <c r="AO94" s="50"/>
      <c r="AP94" s="50"/>
      <c r="AQ94" s="50"/>
      <c r="AT94" s="101"/>
    </row>
    <row r="95" spans="1:46" s="100" customFormat="1" ht="12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50"/>
      <c r="AN95" s="50"/>
      <c r="AO95" s="50"/>
      <c r="AP95" s="50"/>
      <c r="AQ95" s="50"/>
      <c r="AT95" s="101"/>
    </row>
    <row r="96" spans="1:46" s="100" customFormat="1" ht="1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50"/>
      <c r="AN96" s="50"/>
      <c r="AO96" s="50"/>
      <c r="AP96" s="50"/>
      <c r="AQ96" s="50"/>
      <c r="AT96" s="101"/>
    </row>
    <row r="111" spans="39:46" s="47" customFormat="1" ht="13.5" customHeight="1">
      <c r="AM111" s="50"/>
      <c r="AN111" s="50"/>
      <c r="AO111" s="50"/>
      <c r="AP111" s="50"/>
      <c r="AQ111" s="50"/>
      <c r="AT111" s="113"/>
    </row>
    <row r="126" spans="39:46" s="47" customFormat="1" ht="13.5" customHeight="1">
      <c r="AM126" s="50"/>
      <c r="AN126" s="50"/>
      <c r="AO126" s="50"/>
      <c r="AP126" s="50"/>
      <c r="AQ126" s="50"/>
      <c r="AT126" s="113"/>
    </row>
    <row r="146" spans="39:46" s="47" customFormat="1" ht="13.5" customHeight="1">
      <c r="AM146" s="50"/>
      <c r="AN146" s="50"/>
      <c r="AO146" s="50"/>
      <c r="AP146" s="50"/>
      <c r="AQ146" s="50"/>
      <c r="AT146" s="113"/>
    </row>
    <row r="148" spans="39:46" s="47" customFormat="1" ht="13.5" customHeight="1">
      <c r="AM148" s="50"/>
      <c r="AN148" s="50"/>
      <c r="AO148" s="50"/>
      <c r="AP148" s="50"/>
      <c r="AQ148" s="50"/>
      <c r="AT148" s="113"/>
    </row>
  </sheetData>
  <sheetProtection algorithmName="SHA-512" hashValue="eRiHnOqjNbUZFAJToMZeUBLuzsqI34eHkLL6v6KlKNYYVRcxlxm0IapjmQU2Za4y/U81nyS3p8BEvRKf2+updw==" saltValue="MVFFw6qa6gicXN7wWTVIwA==" spinCount="100000" sheet="1" objects="1" scenarios="1" selectLockedCells="1"/>
  <mergeCells count="260">
    <mergeCell ref="B49:C49"/>
    <mergeCell ref="E47:F47"/>
    <mergeCell ref="J47:L47"/>
    <mergeCell ref="M47:P47"/>
    <mergeCell ref="Q47:S47"/>
    <mergeCell ref="T47:V47"/>
    <mergeCell ref="W47:AA47"/>
    <mergeCell ref="AB38:AH41"/>
    <mergeCell ref="AB46:AH50"/>
    <mergeCell ref="AB43:AH44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B68:C68"/>
    <mergeCell ref="E66:F66"/>
    <mergeCell ref="G66:I66"/>
    <mergeCell ref="J66:S66"/>
    <mergeCell ref="T66:V66"/>
    <mergeCell ref="W66:AA66"/>
    <mergeCell ref="AB66:AJ66"/>
    <mergeCell ref="E65:F65"/>
    <mergeCell ref="G65:I65"/>
    <mergeCell ref="J65:S65"/>
    <mergeCell ref="T65:V65"/>
    <mergeCell ref="W65:AA65"/>
    <mergeCell ref="AB65:AJ65"/>
    <mergeCell ref="T6:AH6"/>
    <mergeCell ref="T7:AH7"/>
    <mergeCell ref="T8:AH8"/>
    <mergeCell ref="AB35:AH36"/>
    <mergeCell ref="W34:AA34"/>
    <mergeCell ref="T34:V34"/>
    <mergeCell ref="M34:P34"/>
    <mergeCell ref="J34:L34"/>
    <mergeCell ref="AB33:AJ33"/>
    <mergeCell ref="W33:AA33"/>
    <mergeCell ref="AB34:AJ34"/>
    <mergeCell ref="B6:H6"/>
    <mergeCell ref="I6:R6"/>
    <mergeCell ref="I7:R7"/>
    <mergeCell ref="I10:R10"/>
    <mergeCell ref="I11:R11"/>
    <mergeCell ref="I12:R12"/>
    <mergeCell ref="B10:H10"/>
    <mergeCell ref="B11:H11"/>
    <mergeCell ref="E17:H17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4:F64"/>
    <mergeCell ref="G64:I64"/>
    <mergeCell ref="J64:S64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58:F58"/>
    <mergeCell ref="G58:I58"/>
    <mergeCell ref="J58:S58"/>
    <mergeCell ref="T58:V58"/>
    <mergeCell ref="W58:AA58"/>
    <mergeCell ref="AB58:AJ58"/>
    <mergeCell ref="B33:D47"/>
    <mergeCell ref="E33:F34"/>
    <mergeCell ref="E55:F55"/>
    <mergeCell ref="G55:I55"/>
    <mergeCell ref="J55:S55"/>
    <mergeCell ref="T55:V55"/>
    <mergeCell ref="W55:AA55"/>
    <mergeCell ref="W53:AA53"/>
    <mergeCell ref="E54:F54"/>
    <mergeCell ref="G54:I54"/>
    <mergeCell ref="J54:S54"/>
    <mergeCell ref="T54:V54"/>
    <mergeCell ref="W54:AA54"/>
    <mergeCell ref="B52:D66"/>
    <mergeCell ref="E52:F53"/>
    <mergeCell ref="G52:I53"/>
    <mergeCell ref="J52:S52"/>
    <mergeCell ref="T52:V52"/>
    <mergeCell ref="W52:AA52"/>
    <mergeCell ref="W45:AA45"/>
    <mergeCell ref="E46:F46"/>
    <mergeCell ref="G46:I46"/>
    <mergeCell ref="J46:L46"/>
    <mergeCell ref="M46:P46"/>
    <mergeCell ref="AB52:AJ52"/>
    <mergeCell ref="J53:S53"/>
    <mergeCell ref="T53:V53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G48:AA49"/>
    <mergeCell ref="AB55:AJ55"/>
    <mergeCell ref="AB53:AJ53"/>
    <mergeCell ref="AB54:AJ54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E29:H29"/>
    <mergeCell ref="I29:O29"/>
    <mergeCell ref="P29:R29"/>
    <mergeCell ref="T26:AH26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T27:AH27"/>
    <mergeCell ref="T28:AH28"/>
    <mergeCell ref="T29:AH29"/>
    <mergeCell ref="B26:H26"/>
    <mergeCell ref="B27:D29"/>
    <mergeCell ref="T16:AH16"/>
    <mergeCell ref="AM1:BU1"/>
    <mergeCell ref="A1:AE1"/>
    <mergeCell ref="B4:E4"/>
    <mergeCell ref="F4:K4"/>
    <mergeCell ref="B7:H7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2:AA66">
    <cfRule type="expression" dxfId="7" priority="1">
      <formula>$I$26="非該当"</formula>
    </cfRule>
  </conditionalFormatting>
  <dataValidations count="5">
    <dataValidation type="list" allowBlank="1" showInputMessage="1" showErrorMessage="1" sqref="I27:R27" xr:uid="{00000000-0002-0000-0000-000000000000}">
      <formula1>"有り,無し（一定速）"</formula1>
    </dataValidation>
    <dataValidation type="list" allowBlank="1" showInputMessage="1" showErrorMessage="1" sqref="I26" xr:uid="{00000000-0002-0000-0000-000001000000}">
      <formula1>"該当,非該当"</formula1>
    </dataValidation>
    <dataValidation type="list" allowBlank="1" showInputMessage="1" showErrorMessage="1" sqref="G35:G46 H36:I46 G54:G65" xr:uid="{00000000-0002-0000-0000-000002000000}">
      <formula1>"冷房,暖房"</formula1>
    </dataValidation>
    <dataValidation type="list" allowBlank="1" showInputMessage="1" showErrorMessage="1" sqref="P25:R25 P16:R17 AJ17:AJ26 AD24:AI25 AD20:AI20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2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 xr:uid="{00000000-0002-0000-0000-000008000000}">
          <x14:formula1>
            <xm:f>'&lt;吸収式&gt;マスタ'!$U$7:$U$77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5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7" width="14.125" style="47" hidden="1" customWidth="1"/>
    <col min="38" max="38" width="16.75" style="47" hidden="1" customWidth="1"/>
    <col min="39" max="39" width="20" style="47" hidden="1" customWidth="1"/>
    <col min="40" max="40" width="6.75" style="47" hidden="1" customWidth="1"/>
    <col min="41" max="41" width="2.875" style="47" hidden="1" customWidth="1"/>
    <col min="42" max="42" width="11.375" style="48" hidden="1" customWidth="1"/>
    <col min="43" max="43" width="14.25" style="48" hidden="1" customWidth="1"/>
    <col min="44" max="44" width="0" style="48" hidden="1" customWidth="1"/>
    <col min="45" max="52" width="9" style="48"/>
    <col min="53" max="53" width="13.625" style="48" customWidth="1"/>
    <col min="54" max="56" width="9" style="48"/>
    <col min="57" max="57" width="5.25" style="48" customWidth="1"/>
    <col min="58" max="60" width="9" style="48"/>
    <col min="61" max="61" width="2.875" style="48" customWidth="1"/>
    <col min="62" max="16384" width="9" style="48"/>
  </cols>
  <sheetData>
    <row r="1" spans="1:41" ht="34.5" customHeight="1">
      <c r="A1" s="131" t="s">
        <v>234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45"/>
      <c r="AG1" s="45"/>
      <c r="AK1" s="50"/>
      <c r="AL1" s="50"/>
      <c r="AM1" s="50"/>
      <c r="AN1" s="50"/>
    </row>
    <row r="2" spans="1:41" ht="34.5" customHeight="1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364"/>
      <c r="AF2" s="364"/>
      <c r="AG2" s="364"/>
      <c r="AK2" s="50"/>
      <c r="AL2" s="50"/>
      <c r="AM2" s="50"/>
      <c r="AN2" s="50"/>
    </row>
    <row r="3" spans="1:41" ht="49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K3" s="50"/>
      <c r="AL3" s="50"/>
      <c r="AM3" s="50"/>
      <c r="AN3" s="50"/>
    </row>
    <row r="4" spans="1:41" ht="15" customHeight="1">
      <c r="A4" s="49"/>
      <c r="B4" s="132"/>
      <c r="C4" s="133"/>
      <c r="D4" s="133"/>
      <c r="E4" s="134"/>
      <c r="F4" s="135" t="s">
        <v>225</v>
      </c>
      <c r="G4" s="136"/>
      <c r="H4" s="136"/>
      <c r="I4" s="136"/>
      <c r="J4" s="136"/>
      <c r="K4" s="136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K4" s="50"/>
      <c r="AL4" s="50"/>
      <c r="AM4" s="50"/>
      <c r="AN4" s="50"/>
    </row>
    <row r="5" spans="1:41" ht="15" customHeight="1">
      <c r="A5" s="47" t="s">
        <v>117</v>
      </c>
      <c r="AN5" s="48"/>
      <c r="AO5" s="48"/>
    </row>
    <row r="6" spans="1:41" ht="15" customHeight="1">
      <c r="B6" s="140" t="s">
        <v>118</v>
      </c>
      <c r="C6" s="141"/>
      <c r="D6" s="141"/>
      <c r="E6" s="141"/>
      <c r="F6" s="141"/>
      <c r="G6" s="141"/>
      <c r="H6" s="142"/>
      <c r="I6" s="313" t="s">
        <v>123</v>
      </c>
      <c r="J6" s="314"/>
      <c r="K6" s="314"/>
      <c r="L6" s="314"/>
      <c r="M6" s="314"/>
      <c r="N6" s="314"/>
      <c r="O6" s="314"/>
      <c r="P6" s="314"/>
      <c r="Q6" s="314"/>
      <c r="R6" s="315"/>
      <c r="S6" s="52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48"/>
      <c r="AK6" s="58" t="s">
        <v>135</v>
      </c>
      <c r="AL6" s="114" t="s">
        <v>144</v>
      </c>
      <c r="AN6" s="48"/>
      <c r="AO6" s="48"/>
    </row>
    <row r="7" spans="1:41" ht="15" customHeight="1">
      <c r="B7" s="137" t="s">
        <v>230</v>
      </c>
      <c r="C7" s="138"/>
      <c r="D7" s="138"/>
      <c r="E7" s="138"/>
      <c r="F7" s="138"/>
      <c r="G7" s="138"/>
      <c r="H7" s="139"/>
      <c r="I7" s="163"/>
      <c r="J7" s="164"/>
      <c r="K7" s="164"/>
      <c r="L7" s="164"/>
      <c r="M7" s="164"/>
      <c r="N7" s="164"/>
      <c r="O7" s="164"/>
      <c r="P7" s="164"/>
      <c r="Q7" s="164"/>
      <c r="R7" s="165"/>
      <c r="S7" s="52"/>
      <c r="T7" s="146" t="s">
        <v>196</v>
      </c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48"/>
      <c r="AN7" s="48"/>
      <c r="AO7" s="48"/>
    </row>
    <row r="8" spans="1:41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6"/>
      <c r="AG8" s="56"/>
      <c r="AH8" s="56"/>
      <c r="AN8" s="48"/>
      <c r="AO8" s="48"/>
    </row>
    <row r="9" spans="1:41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6"/>
      <c r="AG9" s="56"/>
      <c r="AH9" s="56"/>
      <c r="AN9" s="48"/>
      <c r="AO9" s="48"/>
    </row>
    <row r="10" spans="1:41" ht="15" customHeight="1">
      <c r="B10" s="173" t="s">
        <v>232</v>
      </c>
      <c r="C10" s="174"/>
      <c r="D10" s="174"/>
      <c r="E10" s="174"/>
      <c r="F10" s="174"/>
      <c r="G10" s="174"/>
      <c r="H10" s="175"/>
      <c r="I10" s="163" t="s">
        <v>51</v>
      </c>
      <c r="J10" s="164"/>
      <c r="K10" s="164"/>
      <c r="L10" s="164"/>
      <c r="M10" s="164"/>
      <c r="N10" s="164"/>
      <c r="O10" s="164"/>
      <c r="P10" s="164"/>
      <c r="Q10" s="164"/>
      <c r="R10" s="164"/>
      <c r="S10" s="52"/>
      <c r="T10" s="146" t="s">
        <v>233</v>
      </c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57"/>
      <c r="AL10" s="115"/>
      <c r="AM10" s="115"/>
      <c r="AN10" s="48"/>
      <c r="AO10" s="48"/>
    </row>
    <row r="11" spans="1:41" ht="30" customHeight="1">
      <c r="B11" s="140" t="s">
        <v>52</v>
      </c>
      <c r="C11" s="141"/>
      <c r="D11" s="141"/>
      <c r="E11" s="141"/>
      <c r="F11" s="141"/>
      <c r="G11" s="141"/>
      <c r="H11" s="142"/>
      <c r="I11" s="163" t="s">
        <v>91</v>
      </c>
      <c r="J11" s="164"/>
      <c r="K11" s="164"/>
      <c r="L11" s="164"/>
      <c r="M11" s="164"/>
      <c r="N11" s="164"/>
      <c r="O11" s="164"/>
      <c r="P11" s="164"/>
      <c r="Q11" s="164"/>
      <c r="R11" s="164"/>
      <c r="S11" s="52"/>
      <c r="T11" s="146" t="s">
        <v>197</v>
      </c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57"/>
      <c r="AN11" s="48"/>
      <c r="AO11" s="48"/>
    </row>
    <row r="12" spans="1:41" ht="15" customHeight="1">
      <c r="B12" s="140" t="s">
        <v>134</v>
      </c>
      <c r="C12" s="141"/>
      <c r="D12" s="141"/>
      <c r="E12" s="141"/>
      <c r="F12" s="141"/>
      <c r="G12" s="141"/>
      <c r="H12" s="142"/>
      <c r="I12" s="163" t="s">
        <v>185</v>
      </c>
      <c r="J12" s="164"/>
      <c r="K12" s="164"/>
      <c r="L12" s="164"/>
      <c r="M12" s="164"/>
      <c r="N12" s="164"/>
      <c r="O12" s="164"/>
      <c r="P12" s="164"/>
      <c r="Q12" s="164"/>
      <c r="R12" s="164"/>
      <c r="S12" s="52"/>
      <c r="T12" s="146" t="s">
        <v>190</v>
      </c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57"/>
      <c r="AK12" s="115"/>
      <c r="AL12" s="116"/>
      <c r="AN12" s="48"/>
      <c r="AO12" s="48"/>
    </row>
    <row r="13" spans="1:41" ht="15" customHeight="1">
      <c r="B13" s="143" t="s">
        <v>129</v>
      </c>
      <c r="C13" s="144"/>
      <c r="D13" s="144"/>
      <c r="E13" s="144"/>
      <c r="F13" s="144"/>
      <c r="G13" s="144"/>
      <c r="H13" s="145"/>
      <c r="I13" s="319" t="s">
        <v>238</v>
      </c>
      <c r="J13" s="320"/>
      <c r="K13" s="320"/>
      <c r="L13" s="320"/>
      <c r="M13" s="320"/>
      <c r="N13" s="320"/>
      <c r="O13" s="320"/>
      <c r="P13" s="320"/>
      <c r="Q13" s="320"/>
      <c r="R13" s="320"/>
      <c r="S13" s="52"/>
      <c r="T13" s="146" t="s">
        <v>198</v>
      </c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90"/>
      <c r="AK13" s="115"/>
      <c r="AL13" s="116"/>
      <c r="AN13" s="48"/>
      <c r="AO13" s="48"/>
    </row>
    <row r="14" spans="1:41" ht="3" customHeight="1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7"/>
      <c r="Q14" s="57"/>
      <c r="R14" s="57"/>
      <c r="S14" s="57"/>
      <c r="T14" s="57"/>
      <c r="U14" s="57"/>
      <c r="V14" s="57"/>
      <c r="W14" s="57"/>
      <c r="X14" s="57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N14" s="48"/>
      <c r="AO14" s="48"/>
    </row>
    <row r="15" spans="1:41" ht="17.25" customHeight="1">
      <c r="B15" s="153" t="s">
        <v>200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56"/>
      <c r="AN15" s="48"/>
      <c r="AO15" s="48"/>
    </row>
    <row r="16" spans="1:41" ht="15" customHeight="1">
      <c r="A16" s="47" t="s">
        <v>171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57"/>
      <c r="R16" s="57"/>
      <c r="S16" s="57"/>
      <c r="T16" s="57"/>
      <c r="U16" s="57"/>
      <c r="V16" s="57"/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N16" s="48"/>
      <c r="AO16" s="48"/>
    </row>
    <row r="17" spans="1:50" ht="15" customHeight="1">
      <c r="B17" s="316" t="s">
        <v>186</v>
      </c>
      <c r="C17" s="148"/>
      <c r="D17" s="148"/>
      <c r="E17" s="142" t="s">
        <v>2</v>
      </c>
      <c r="F17" s="148"/>
      <c r="G17" s="148"/>
      <c r="H17" s="148"/>
      <c r="I17" s="154">
        <v>85</v>
      </c>
      <c r="J17" s="155"/>
      <c r="K17" s="155"/>
      <c r="L17" s="155"/>
      <c r="M17" s="155"/>
      <c r="N17" s="155"/>
      <c r="O17" s="155"/>
      <c r="P17" s="317" t="s">
        <v>162</v>
      </c>
      <c r="Q17" s="317"/>
      <c r="R17" s="318"/>
      <c r="S17" s="52"/>
      <c r="T17" s="146" t="s">
        <v>191</v>
      </c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64"/>
    </row>
    <row r="18" spans="1:50" ht="15" customHeight="1">
      <c r="B18" s="148"/>
      <c r="C18" s="148"/>
      <c r="D18" s="148"/>
      <c r="E18" s="141" t="s">
        <v>1</v>
      </c>
      <c r="F18" s="141"/>
      <c r="G18" s="141"/>
      <c r="H18" s="142"/>
      <c r="I18" s="154">
        <v>85</v>
      </c>
      <c r="J18" s="155"/>
      <c r="K18" s="155"/>
      <c r="L18" s="155"/>
      <c r="M18" s="155"/>
      <c r="N18" s="155"/>
      <c r="O18" s="155"/>
      <c r="P18" s="317" t="s">
        <v>162</v>
      </c>
      <c r="Q18" s="317"/>
      <c r="R18" s="318"/>
      <c r="S18" s="52"/>
      <c r="T18" s="146" t="s">
        <v>191</v>
      </c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68"/>
    </row>
    <row r="19" spans="1:50" ht="15" customHeight="1">
      <c r="B19" s="148" t="s">
        <v>174</v>
      </c>
      <c r="C19" s="148"/>
      <c r="D19" s="148"/>
      <c r="E19" s="148"/>
      <c r="F19" s="148"/>
      <c r="G19" s="148"/>
      <c r="H19" s="148"/>
      <c r="I19" s="163" t="s">
        <v>73</v>
      </c>
      <c r="J19" s="164"/>
      <c r="K19" s="164"/>
      <c r="L19" s="164"/>
      <c r="M19" s="164"/>
      <c r="N19" s="164"/>
      <c r="O19" s="164"/>
      <c r="P19" s="164"/>
      <c r="Q19" s="164"/>
      <c r="R19" s="165"/>
      <c r="S19" s="78"/>
      <c r="T19" s="146" t="s">
        <v>199</v>
      </c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68"/>
      <c r="AK19" s="58" t="s">
        <v>160</v>
      </c>
      <c r="AL19" s="80">
        <f>VLOOKUP(I19,'&lt;吸収式&gt;マスタ'!$F$6:$G$13,2,0)</f>
        <v>10800</v>
      </c>
      <c r="AM19" s="81" t="s">
        <v>161</v>
      </c>
      <c r="AN19" s="60"/>
      <c r="AO19" s="61"/>
      <c r="AP19" s="74"/>
      <c r="AQ19" s="74"/>
      <c r="AR19" s="74"/>
      <c r="AS19" s="74"/>
      <c r="AT19" s="74"/>
      <c r="AU19" s="74"/>
      <c r="AV19" s="61"/>
      <c r="AW19" s="76"/>
      <c r="AX19" s="76"/>
    </row>
    <row r="20" spans="1:50" s="64" customFormat="1" ht="3" customHeight="1">
      <c r="A20" s="102"/>
      <c r="B20" s="57"/>
      <c r="C20" s="57"/>
      <c r="D20" s="57"/>
      <c r="E20" s="68"/>
      <c r="F20" s="68"/>
      <c r="G20" s="68"/>
      <c r="H20" s="68"/>
      <c r="I20" s="117"/>
      <c r="J20" s="117"/>
      <c r="K20" s="117"/>
      <c r="L20" s="117"/>
      <c r="M20" s="117"/>
      <c r="N20" s="117"/>
      <c r="O20" s="117"/>
      <c r="P20" s="68"/>
      <c r="Q20" s="68"/>
      <c r="R20" s="68"/>
      <c r="S20" s="78"/>
      <c r="T20" s="78"/>
      <c r="U20" s="78"/>
      <c r="V20" s="78"/>
      <c r="W20" s="79"/>
      <c r="X20" s="79"/>
      <c r="Y20" s="79"/>
      <c r="Z20" s="79"/>
      <c r="AA20" s="79"/>
      <c r="AB20" s="79"/>
      <c r="AC20" s="79"/>
      <c r="AD20" s="78"/>
      <c r="AE20" s="78"/>
      <c r="AF20" s="68"/>
      <c r="AG20" s="68"/>
      <c r="AH20" s="68"/>
      <c r="AI20" s="102"/>
      <c r="AJ20" s="102"/>
      <c r="AK20" s="102"/>
      <c r="AL20" s="102"/>
      <c r="AM20" s="102"/>
      <c r="AN20" s="102"/>
      <c r="AO20" s="102"/>
    </row>
    <row r="21" spans="1:50" s="64" customFormat="1" ht="13.5" customHeight="1">
      <c r="A21" s="102" t="s">
        <v>173</v>
      </c>
      <c r="B21" s="57"/>
      <c r="C21" s="57"/>
      <c r="D21" s="57"/>
      <c r="E21" s="68"/>
      <c r="F21" s="68"/>
      <c r="G21" s="68"/>
      <c r="H21" s="68"/>
      <c r="I21" s="117"/>
      <c r="J21" s="117"/>
      <c r="K21" s="117"/>
      <c r="L21" s="117"/>
      <c r="M21" s="117"/>
      <c r="N21" s="117"/>
      <c r="O21" s="117"/>
      <c r="P21" s="68"/>
      <c r="Q21" s="68"/>
      <c r="R21" s="68"/>
      <c r="S21" s="78"/>
      <c r="T21" s="78"/>
      <c r="U21" s="78"/>
      <c r="V21" s="78"/>
      <c r="W21" s="79"/>
      <c r="X21" s="79"/>
      <c r="Y21" s="79"/>
      <c r="Z21" s="79"/>
      <c r="AA21" s="79"/>
      <c r="AB21" s="79"/>
      <c r="AC21" s="79"/>
      <c r="AD21" s="78"/>
      <c r="AE21" s="78"/>
      <c r="AF21" s="68"/>
      <c r="AG21" s="68"/>
      <c r="AH21" s="68"/>
      <c r="AI21" s="102"/>
      <c r="AJ21" s="102"/>
      <c r="AK21" s="102"/>
      <c r="AL21" s="102"/>
      <c r="AM21" s="102"/>
      <c r="AN21" s="102"/>
      <c r="AO21" s="102"/>
    </row>
    <row r="22" spans="1:50" s="64" customFormat="1" ht="13.5" customHeight="1">
      <c r="A22" s="102"/>
      <c r="B22" s="173" t="s">
        <v>54</v>
      </c>
      <c r="C22" s="174"/>
      <c r="D22" s="174"/>
      <c r="E22" s="174"/>
      <c r="F22" s="174"/>
      <c r="G22" s="174"/>
      <c r="H22" s="175"/>
      <c r="I22" s="313" t="str">
        <f>既存設備!I21:R21</f>
        <v>店舗</v>
      </c>
      <c r="J22" s="314"/>
      <c r="K22" s="314"/>
      <c r="L22" s="314"/>
      <c r="M22" s="314"/>
      <c r="N22" s="314"/>
      <c r="O22" s="314"/>
      <c r="P22" s="314"/>
      <c r="Q22" s="314"/>
      <c r="R22" s="315"/>
      <c r="S22" s="52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68"/>
      <c r="AI22" s="102"/>
      <c r="AJ22" s="102"/>
      <c r="AK22" s="102"/>
      <c r="AL22" s="102"/>
      <c r="AM22" s="102"/>
      <c r="AN22" s="102"/>
      <c r="AO22" s="102"/>
    </row>
    <row r="23" spans="1:50" s="64" customFormat="1" ht="13.5" customHeight="1">
      <c r="A23" s="102"/>
      <c r="B23" s="140" t="s">
        <v>119</v>
      </c>
      <c r="C23" s="141"/>
      <c r="D23" s="141"/>
      <c r="E23" s="141"/>
      <c r="F23" s="141"/>
      <c r="G23" s="141"/>
      <c r="H23" s="142"/>
      <c r="I23" s="149">
        <v>1</v>
      </c>
      <c r="J23" s="150"/>
      <c r="K23" s="150"/>
      <c r="L23" s="150"/>
      <c r="M23" s="150"/>
      <c r="N23" s="150"/>
      <c r="O23" s="150"/>
      <c r="P23" s="309" t="s">
        <v>229</v>
      </c>
      <c r="Q23" s="310"/>
      <c r="R23" s="311"/>
      <c r="S23" s="52"/>
      <c r="T23" s="146" t="s">
        <v>194</v>
      </c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68"/>
      <c r="AI23" s="102"/>
      <c r="AJ23" s="102"/>
      <c r="AK23" s="102"/>
      <c r="AL23" s="102"/>
      <c r="AM23" s="102"/>
      <c r="AN23" s="102"/>
      <c r="AO23" s="102"/>
    </row>
    <row r="24" spans="1:50" s="64" customFormat="1" ht="3" customHeight="1">
      <c r="A24" s="102"/>
      <c r="B24" s="57"/>
      <c r="C24" s="57"/>
      <c r="D24" s="57"/>
      <c r="E24" s="68"/>
      <c r="F24" s="68"/>
      <c r="G24" s="68"/>
      <c r="H24" s="68"/>
      <c r="I24" s="117"/>
      <c r="J24" s="117"/>
      <c r="K24" s="117"/>
      <c r="L24" s="117"/>
      <c r="M24" s="117"/>
      <c r="N24" s="117"/>
      <c r="O24" s="117"/>
      <c r="P24" s="68"/>
      <c r="Q24" s="68"/>
      <c r="R24" s="68"/>
      <c r="S24" s="118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68"/>
      <c r="AI24" s="102"/>
      <c r="AJ24" s="102"/>
      <c r="AK24" s="102"/>
      <c r="AL24" s="102"/>
      <c r="AM24" s="102"/>
      <c r="AN24" s="102"/>
      <c r="AO24" s="102"/>
    </row>
    <row r="25" spans="1:50" s="64" customFormat="1" ht="11.25" customHeight="1">
      <c r="A25" s="102" t="s">
        <v>176</v>
      </c>
      <c r="B25" s="57"/>
      <c r="C25" s="57"/>
      <c r="D25" s="57"/>
      <c r="E25" s="68"/>
      <c r="F25" s="68"/>
      <c r="G25" s="68"/>
      <c r="H25" s="68"/>
      <c r="I25" s="117"/>
      <c r="J25" s="117"/>
      <c r="K25" s="117"/>
      <c r="L25" s="117"/>
      <c r="M25" s="117"/>
      <c r="N25" s="117"/>
      <c r="O25" s="117"/>
      <c r="P25" s="68"/>
      <c r="Q25" s="68"/>
      <c r="R25" s="68"/>
      <c r="S25" s="78"/>
      <c r="T25" s="78"/>
      <c r="U25" s="78"/>
      <c r="V25" s="78"/>
      <c r="W25" s="79"/>
      <c r="X25" s="79"/>
      <c r="Y25" s="79"/>
      <c r="Z25" s="79"/>
      <c r="AA25" s="79"/>
      <c r="AB25" s="79"/>
      <c r="AC25" s="79"/>
      <c r="AD25" s="78"/>
      <c r="AE25" s="78"/>
      <c r="AF25" s="68"/>
      <c r="AG25" s="68"/>
      <c r="AH25" s="68"/>
      <c r="AI25" s="102"/>
      <c r="AJ25" s="102"/>
      <c r="AK25" s="102"/>
      <c r="AL25" s="102"/>
      <c r="AM25" s="102"/>
      <c r="AN25" s="102"/>
      <c r="AO25" s="102"/>
    </row>
    <row r="26" spans="1:50" s="64" customFormat="1" ht="15" customHeight="1">
      <c r="A26" s="102"/>
      <c r="B26" s="148" t="s">
        <v>187</v>
      </c>
      <c r="C26" s="148"/>
      <c r="D26" s="148"/>
      <c r="E26" s="148"/>
      <c r="F26" s="148"/>
      <c r="G26" s="148"/>
      <c r="H26" s="148"/>
      <c r="I26" s="313" t="str">
        <f>既存設備!I26:R26</f>
        <v>該当</v>
      </c>
      <c r="J26" s="314"/>
      <c r="K26" s="314"/>
      <c r="L26" s="314"/>
      <c r="M26" s="314"/>
      <c r="N26" s="314"/>
      <c r="O26" s="314"/>
      <c r="P26" s="314"/>
      <c r="Q26" s="314"/>
      <c r="R26" s="315"/>
      <c r="S26" s="52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68"/>
      <c r="AI26" s="102"/>
      <c r="AJ26" s="102"/>
      <c r="AK26" s="102"/>
      <c r="AL26" s="102"/>
      <c r="AM26" s="102"/>
      <c r="AN26" s="102"/>
      <c r="AO26" s="102"/>
    </row>
    <row r="27" spans="1:50" s="64" customFormat="1" ht="30" customHeight="1">
      <c r="A27" s="102"/>
      <c r="B27" s="148" t="s">
        <v>103</v>
      </c>
      <c r="C27" s="148"/>
      <c r="D27" s="148"/>
      <c r="E27" s="166" t="s">
        <v>131</v>
      </c>
      <c r="F27" s="166"/>
      <c r="G27" s="166"/>
      <c r="H27" s="166"/>
      <c r="I27" s="167" t="s">
        <v>139</v>
      </c>
      <c r="J27" s="168"/>
      <c r="K27" s="168"/>
      <c r="L27" s="168"/>
      <c r="M27" s="168"/>
      <c r="N27" s="168"/>
      <c r="O27" s="168"/>
      <c r="P27" s="168"/>
      <c r="Q27" s="168"/>
      <c r="R27" s="169"/>
      <c r="S27" s="52"/>
      <c r="T27" s="146" t="str">
        <f>IF(I26="該当","←「有り」「無し（一定値）」から選択","←入力不要")</f>
        <v>←「有り」「無し（一定値）」から選択</v>
      </c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I27" s="102"/>
      <c r="AJ27" s="102"/>
      <c r="AK27" s="102"/>
      <c r="AL27" s="102"/>
      <c r="AM27" s="102"/>
      <c r="AN27" s="102"/>
      <c r="AO27" s="102"/>
      <c r="AP27" s="120" t="s">
        <v>169</v>
      </c>
    </row>
    <row r="28" spans="1:50" ht="30" customHeight="1">
      <c r="B28" s="148"/>
      <c r="C28" s="148"/>
      <c r="D28" s="148"/>
      <c r="E28" s="170" t="s">
        <v>93</v>
      </c>
      <c r="F28" s="171"/>
      <c r="G28" s="171"/>
      <c r="H28" s="171"/>
      <c r="I28" s="158">
        <v>90</v>
      </c>
      <c r="J28" s="159"/>
      <c r="K28" s="159"/>
      <c r="L28" s="159"/>
      <c r="M28" s="159"/>
      <c r="N28" s="159"/>
      <c r="O28" s="159"/>
      <c r="P28" s="160" t="s">
        <v>94</v>
      </c>
      <c r="Q28" s="160"/>
      <c r="R28" s="161"/>
      <c r="S28" s="52"/>
      <c r="T28" s="146" t="str">
        <f>IF(I26="該当","←水頭損失を入力（半角）","←入力不要")</f>
        <v>←水頭損失を入力（半角）</v>
      </c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48"/>
      <c r="AK28" s="65" t="s">
        <v>131</v>
      </c>
      <c r="AL28" s="65">
        <f>IF(I27="有り",0.5,1)</f>
        <v>0.5</v>
      </c>
      <c r="AM28" s="65" t="s">
        <v>95</v>
      </c>
      <c r="AN28" s="121">
        <f>ROUNDDOWN(AP28*AL28,1)</f>
        <v>21.3</v>
      </c>
      <c r="AP28" s="88">
        <f>ROUNDDOWN(1000*I29/3600*(I28+196)/0.8/0.93/1000,1)</f>
        <v>42.7</v>
      </c>
    </row>
    <row r="29" spans="1:50" ht="15" customHeight="1">
      <c r="B29" s="148"/>
      <c r="C29" s="148"/>
      <c r="D29" s="148"/>
      <c r="E29" s="142" t="s">
        <v>89</v>
      </c>
      <c r="F29" s="148"/>
      <c r="G29" s="148"/>
      <c r="H29" s="148"/>
      <c r="I29" s="158">
        <v>400</v>
      </c>
      <c r="J29" s="159"/>
      <c r="K29" s="159"/>
      <c r="L29" s="159"/>
      <c r="M29" s="159"/>
      <c r="N29" s="159"/>
      <c r="O29" s="159"/>
      <c r="P29" s="160" t="s">
        <v>235</v>
      </c>
      <c r="Q29" s="160"/>
      <c r="R29" s="161"/>
      <c r="S29" s="52"/>
      <c r="T29" s="146" t="str">
        <f>IF(I26="該当","←冷却水流量を入力（半角）","←入力不要")</f>
        <v>←冷却水流量を入力（半角）</v>
      </c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68"/>
      <c r="AK29" s="115"/>
      <c r="AL29" s="115"/>
      <c r="AM29" s="115"/>
      <c r="AN29" s="122"/>
      <c r="AP29" s="61"/>
    </row>
    <row r="30" spans="1:50" ht="3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</row>
    <row r="31" spans="1:50" ht="3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</row>
    <row r="32" spans="1:50" ht="15" customHeight="1">
      <c r="A32" s="47" t="s">
        <v>224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1"/>
      <c r="AF32" s="91"/>
      <c r="AG32" s="91"/>
      <c r="AH32" s="91"/>
    </row>
    <row r="33" spans="1:45" ht="30" customHeight="1">
      <c r="B33" s="247" t="s">
        <v>156</v>
      </c>
      <c r="C33" s="248"/>
      <c r="D33" s="249"/>
      <c r="E33" s="173" t="s">
        <v>56</v>
      </c>
      <c r="F33" s="175"/>
      <c r="G33" s="173" t="s">
        <v>14</v>
      </c>
      <c r="H33" s="174"/>
      <c r="I33" s="175"/>
      <c r="J33" s="178" t="s">
        <v>76</v>
      </c>
      <c r="K33" s="323"/>
      <c r="L33" s="324"/>
      <c r="M33" s="181" t="s">
        <v>133</v>
      </c>
      <c r="N33" s="182"/>
      <c r="O33" s="182"/>
      <c r="P33" s="183"/>
      <c r="Q33" s="173" t="s">
        <v>127</v>
      </c>
      <c r="R33" s="174"/>
      <c r="S33" s="175"/>
      <c r="T33" s="173" t="s">
        <v>110</v>
      </c>
      <c r="U33" s="174"/>
      <c r="V33" s="175"/>
      <c r="W33" s="173" t="s">
        <v>137</v>
      </c>
      <c r="X33" s="174"/>
      <c r="Y33" s="174"/>
      <c r="Z33" s="174"/>
      <c r="AA33" s="174"/>
      <c r="AB33" s="231"/>
      <c r="AC33" s="232"/>
      <c r="AD33" s="232"/>
      <c r="AE33" s="232"/>
      <c r="AF33" s="232"/>
      <c r="AG33" s="232"/>
      <c r="AH33" s="68"/>
    </row>
    <row r="34" spans="1:45" ht="15" customHeight="1" thickBot="1">
      <c r="B34" s="250"/>
      <c r="C34" s="251"/>
      <c r="D34" s="252"/>
      <c r="E34" s="143"/>
      <c r="F34" s="145"/>
      <c r="G34" s="143"/>
      <c r="H34" s="144"/>
      <c r="I34" s="145"/>
      <c r="J34" s="273" t="s">
        <v>100</v>
      </c>
      <c r="K34" s="274"/>
      <c r="L34" s="275"/>
      <c r="M34" s="270" t="s">
        <v>114</v>
      </c>
      <c r="N34" s="271"/>
      <c r="O34" s="271"/>
      <c r="P34" s="272"/>
      <c r="Q34" s="143"/>
      <c r="R34" s="144"/>
      <c r="S34" s="145"/>
      <c r="T34" s="270" t="s">
        <v>111</v>
      </c>
      <c r="U34" s="271"/>
      <c r="V34" s="272"/>
      <c r="W34" s="321" t="s">
        <v>222</v>
      </c>
      <c r="X34" s="322"/>
      <c r="Y34" s="322"/>
      <c r="Z34" s="322"/>
      <c r="AA34" s="322"/>
      <c r="AB34" s="231"/>
      <c r="AC34" s="232"/>
      <c r="AD34" s="232"/>
      <c r="AE34" s="232"/>
      <c r="AF34" s="232"/>
      <c r="AG34" s="232"/>
      <c r="AH34" s="68"/>
      <c r="AK34" s="71" t="s">
        <v>80</v>
      </c>
      <c r="AL34" s="71" t="s">
        <v>81</v>
      </c>
      <c r="AM34" s="71" t="s">
        <v>98</v>
      </c>
      <c r="AN34" s="71" t="s">
        <v>99</v>
      </c>
      <c r="AP34" s="50" t="s">
        <v>170</v>
      </c>
    </row>
    <row r="35" spans="1:45" ht="15" customHeight="1">
      <c r="B35" s="250"/>
      <c r="C35" s="251"/>
      <c r="D35" s="252"/>
      <c r="E35" s="187">
        <v>4</v>
      </c>
      <c r="F35" s="209"/>
      <c r="G35" s="210" t="str">
        <f>既存設備!G35:I35</f>
        <v>暖房</v>
      </c>
      <c r="H35" s="211"/>
      <c r="I35" s="211"/>
      <c r="J35" s="325">
        <f t="shared" ref="J35:J46" si="0">IF(G35="暖房",$I$18,$I$17)</f>
        <v>85</v>
      </c>
      <c r="K35" s="325"/>
      <c r="L35" s="325"/>
      <c r="M35" s="195">
        <f>既存設備!M35:P35</f>
        <v>0.16</v>
      </c>
      <c r="N35" s="196"/>
      <c r="O35" s="196"/>
      <c r="P35" s="197"/>
      <c r="Q35" s="198">
        <f>VLOOKUP(E35&amp;G35&amp;$I$22&amp;$I$6,'&lt;吸収式&gt;マスタ'!$AI$8:$AP$151,8,0)</f>
        <v>0.9</v>
      </c>
      <c r="R35" s="199"/>
      <c r="S35" s="200"/>
      <c r="T35" s="326">
        <f>既存設備!T35</f>
        <v>300</v>
      </c>
      <c r="U35" s="327"/>
      <c r="V35" s="327"/>
      <c r="W35" s="331">
        <f t="shared" ref="W35:W46" si="1">ROUNDDOWN(AP35*M35*T35*$I$23/$AM$35,1)</f>
        <v>5268.8</v>
      </c>
      <c r="X35" s="332"/>
      <c r="Y35" s="332"/>
      <c r="Z35" s="332"/>
      <c r="AA35" s="333"/>
      <c r="AB35" s="291"/>
      <c r="AC35" s="291"/>
      <c r="AD35" s="291"/>
      <c r="AE35" s="291"/>
      <c r="AF35" s="291"/>
      <c r="AG35" s="291"/>
      <c r="AH35" s="123"/>
      <c r="AK35" s="72">
        <f>VLOOKUP(E35&amp;$I$22,'&lt;吸収式&gt;マスタ'!$Z$8:$AB$31,2,0)</f>
        <v>0</v>
      </c>
      <c r="AL35" s="72">
        <f>VLOOKUP(E35&amp;$I$22,'&lt;吸収式&gt;マスタ'!$Z$8:$AB$31,3,0)</f>
        <v>0.16</v>
      </c>
      <c r="AM35" s="71">
        <f>VLOOKUP(I19,'&lt;吸収式&gt;マスタ'!F7:M14,7,0)</f>
        <v>0.86</v>
      </c>
      <c r="AN35" s="71">
        <f>VLOOKUP(I19,'&lt;吸収式&gt;マスタ'!F7:M14,8,0)</f>
        <v>39.1</v>
      </c>
      <c r="AP35" s="89">
        <f>ROUNDDOWN(J35/Q35,1)</f>
        <v>94.4</v>
      </c>
      <c r="AS35" s="124"/>
    </row>
    <row r="36" spans="1:45" ht="15" customHeight="1">
      <c r="B36" s="250"/>
      <c r="C36" s="251"/>
      <c r="D36" s="252"/>
      <c r="E36" s="187">
        <v>5</v>
      </c>
      <c r="F36" s="209"/>
      <c r="G36" s="210" t="str">
        <f>既存設備!G36:I36</f>
        <v>冷房</v>
      </c>
      <c r="H36" s="211"/>
      <c r="I36" s="211"/>
      <c r="J36" s="325">
        <f t="shared" si="0"/>
        <v>85</v>
      </c>
      <c r="K36" s="325"/>
      <c r="L36" s="325"/>
      <c r="M36" s="195">
        <f>既存設備!M36:P36</f>
        <v>0.29599999999999999</v>
      </c>
      <c r="N36" s="196"/>
      <c r="O36" s="196"/>
      <c r="P36" s="197"/>
      <c r="Q36" s="198">
        <f>VLOOKUP(E36&amp;G36&amp;$I$22&amp;$I$6,'&lt;吸収式&gt;マスタ'!$AI$8:$AP$151,8,0)</f>
        <v>0.96</v>
      </c>
      <c r="R36" s="199"/>
      <c r="S36" s="200"/>
      <c r="T36" s="326">
        <f>既存設備!T36</f>
        <v>300</v>
      </c>
      <c r="U36" s="327"/>
      <c r="V36" s="327"/>
      <c r="W36" s="328">
        <f t="shared" si="1"/>
        <v>9138.1</v>
      </c>
      <c r="X36" s="329"/>
      <c r="Y36" s="329"/>
      <c r="Z36" s="329"/>
      <c r="AA36" s="330"/>
      <c r="AB36" s="291"/>
      <c r="AC36" s="291"/>
      <c r="AD36" s="291"/>
      <c r="AE36" s="291"/>
      <c r="AF36" s="291"/>
      <c r="AG36" s="291"/>
      <c r="AH36" s="123"/>
      <c r="AK36" s="72">
        <f>VLOOKUP(E36&amp;$I$22,'&lt;吸収式&gt;マスタ'!$Z$8:$AB$31,2,0)</f>
        <v>0.29599999999999999</v>
      </c>
      <c r="AL36" s="72">
        <f>VLOOKUP(E36&amp;$I$22,'&lt;吸収式&gt;マスタ'!$Z$8:$AB$31,3,0)</f>
        <v>0</v>
      </c>
      <c r="AP36" s="89">
        <f t="shared" ref="AP36:AP46" si="2">ROUNDDOWN(J36/Q36,1)</f>
        <v>88.5</v>
      </c>
      <c r="AS36" s="124"/>
    </row>
    <row r="37" spans="1:45" ht="15" customHeight="1">
      <c r="B37" s="250"/>
      <c r="C37" s="251"/>
      <c r="D37" s="252"/>
      <c r="E37" s="187">
        <v>6</v>
      </c>
      <c r="F37" s="209"/>
      <c r="G37" s="210" t="str">
        <f>既存設備!G37:I37</f>
        <v>冷房</v>
      </c>
      <c r="H37" s="211"/>
      <c r="I37" s="211"/>
      <c r="J37" s="325">
        <f t="shared" si="0"/>
        <v>85</v>
      </c>
      <c r="K37" s="325"/>
      <c r="L37" s="325"/>
      <c r="M37" s="195">
        <f>既存設備!M37:P37</f>
        <v>0.435</v>
      </c>
      <c r="N37" s="196"/>
      <c r="O37" s="196"/>
      <c r="P37" s="197"/>
      <c r="Q37" s="198">
        <f>VLOOKUP(E37&amp;G37&amp;$I$22&amp;$I$6,'&lt;吸収式&gt;マスタ'!$AI$8:$AP$151,8,0)</f>
        <v>1.07</v>
      </c>
      <c r="R37" s="199"/>
      <c r="S37" s="200"/>
      <c r="T37" s="326">
        <f>既存設備!T37</f>
        <v>300</v>
      </c>
      <c r="U37" s="327"/>
      <c r="V37" s="327"/>
      <c r="W37" s="328">
        <f t="shared" si="1"/>
        <v>12048.4</v>
      </c>
      <c r="X37" s="329"/>
      <c r="Y37" s="329"/>
      <c r="Z37" s="329"/>
      <c r="AA37" s="330"/>
      <c r="AB37" s="291"/>
      <c r="AC37" s="291"/>
      <c r="AD37" s="291"/>
      <c r="AE37" s="291"/>
      <c r="AF37" s="291"/>
      <c r="AG37" s="291"/>
      <c r="AH37" s="123"/>
      <c r="AK37" s="72">
        <f>VLOOKUP(E37&amp;$I$22,'&lt;吸収式&gt;マスタ'!$Z$8:$AB$31,2,0)</f>
        <v>0.435</v>
      </c>
      <c r="AL37" s="72">
        <f>VLOOKUP(E37&amp;$I$22,'&lt;吸収式&gt;マスタ'!$Z$8:$AB$31,3,0)</f>
        <v>0</v>
      </c>
      <c r="AP37" s="89">
        <f t="shared" si="2"/>
        <v>79.400000000000006</v>
      </c>
      <c r="AS37" s="124"/>
    </row>
    <row r="38" spans="1:45" ht="15" customHeight="1">
      <c r="B38" s="250"/>
      <c r="C38" s="251"/>
      <c r="D38" s="252"/>
      <c r="E38" s="187">
        <v>7</v>
      </c>
      <c r="F38" s="209"/>
      <c r="G38" s="210" t="str">
        <f>既存設備!G38:I38</f>
        <v>冷房</v>
      </c>
      <c r="H38" s="211"/>
      <c r="I38" s="211"/>
      <c r="J38" s="325">
        <f t="shared" si="0"/>
        <v>85</v>
      </c>
      <c r="K38" s="325"/>
      <c r="L38" s="325"/>
      <c r="M38" s="195">
        <f>既存設備!M38:P38</f>
        <v>0.64100000000000001</v>
      </c>
      <c r="N38" s="196"/>
      <c r="O38" s="196"/>
      <c r="P38" s="197"/>
      <c r="Q38" s="198">
        <f>VLOOKUP(E38&amp;G38&amp;$I$22&amp;$I$6,'&lt;吸収式&gt;マスタ'!$AI$8:$AP$151,8,0)</f>
        <v>1.05</v>
      </c>
      <c r="R38" s="199"/>
      <c r="S38" s="200"/>
      <c r="T38" s="326">
        <f>既存設備!T38</f>
        <v>300</v>
      </c>
      <c r="U38" s="327"/>
      <c r="V38" s="327"/>
      <c r="W38" s="328">
        <f t="shared" si="1"/>
        <v>18089.599999999999</v>
      </c>
      <c r="X38" s="329"/>
      <c r="Y38" s="329"/>
      <c r="Z38" s="329"/>
      <c r="AA38" s="330"/>
      <c r="AB38" s="291"/>
      <c r="AC38" s="291"/>
      <c r="AD38" s="291"/>
      <c r="AE38" s="291"/>
      <c r="AF38" s="291"/>
      <c r="AG38" s="291"/>
      <c r="AH38" s="123"/>
      <c r="AK38" s="72">
        <f>VLOOKUP(E38&amp;$I$22,'&lt;吸収式&gt;マスタ'!$Z$8:$AB$31,2,0)</f>
        <v>0.64100000000000001</v>
      </c>
      <c r="AL38" s="72">
        <f>VLOOKUP(E38&amp;$I$22,'&lt;吸収式&gt;マスタ'!$Z$8:$AB$31,3,0)</f>
        <v>0</v>
      </c>
      <c r="AP38" s="89">
        <f t="shared" si="2"/>
        <v>80.900000000000006</v>
      </c>
      <c r="AS38" s="124"/>
    </row>
    <row r="39" spans="1:45" ht="15" customHeight="1">
      <c r="B39" s="250"/>
      <c r="C39" s="251"/>
      <c r="D39" s="252"/>
      <c r="E39" s="187">
        <v>8</v>
      </c>
      <c r="F39" s="209"/>
      <c r="G39" s="210" t="str">
        <f>既存設備!G39:I39</f>
        <v>冷房</v>
      </c>
      <c r="H39" s="211"/>
      <c r="I39" s="211"/>
      <c r="J39" s="325">
        <f t="shared" si="0"/>
        <v>85</v>
      </c>
      <c r="K39" s="325"/>
      <c r="L39" s="325"/>
      <c r="M39" s="195">
        <f>既存設備!M39:P39</f>
        <v>0.69299999999999995</v>
      </c>
      <c r="N39" s="196"/>
      <c r="O39" s="196"/>
      <c r="P39" s="197"/>
      <c r="Q39" s="198">
        <f>VLOOKUP(E39&amp;G39&amp;$I$22&amp;$I$6,'&lt;吸収式&gt;マスタ'!$AI$8:$AP$151,8,0)</f>
        <v>1.04</v>
      </c>
      <c r="R39" s="199"/>
      <c r="S39" s="200"/>
      <c r="T39" s="326">
        <f>既存設備!T39</f>
        <v>300</v>
      </c>
      <c r="U39" s="327"/>
      <c r="V39" s="327"/>
      <c r="W39" s="328">
        <f t="shared" si="1"/>
        <v>19750.5</v>
      </c>
      <c r="X39" s="329"/>
      <c r="Y39" s="329"/>
      <c r="Z39" s="329"/>
      <c r="AA39" s="330"/>
      <c r="AB39" s="363"/>
      <c r="AC39" s="363"/>
      <c r="AD39" s="363"/>
      <c r="AE39" s="363"/>
      <c r="AF39" s="363"/>
      <c r="AG39" s="363"/>
      <c r="AH39" s="125"/>
      <c r="AK39" s="72">
        <f>VLOOKUP(E39&amp;$I$22,'&lt;吸収式&gt;マスタ'!$Z$8:$AB$31,2,0)</f>
        <v>0.69299999999999995</v>
      </c>
      <c r="AL39" s="72">
        <f>VLOOKUP(E39&amp;$I$22,'&lt;吸収式&gt;マスタ'!$Z$8:$AB$31,3,0)</f>
        <v>0</v>
      </c>
      <c r="AP39" s="89">
        <f t="shared" si="2"/>
        <v>81.7</v>
      </c>
      <c r="AS39" s="124"/>
    </row>
    <row r="40" spans="1:45" ht="15" customHeight="1">
      <c r="B40" s="250"/>
      <c r="C40" s="251"/>
      <c r="D40" s="252"/>
      <c r="E40" s="187">
        <v>9</v>
      </c>
      <c r="F40" s="209"/>
      <c r="G40" s="210" t="str">
        <f>既存設備!G40:I40</f>
        <v>冷房</v>
      </c>
      <c r="H40" s="211"/>
      <c r="I40" s="211"/>
      <c r="J40" s="325">
        <f t="shared" si="0"/>
        <v>85</v>
      </c>
      <c r="K40" s="325"/>
      <c r="L40" s="325"/>
      <c r="M40" s="195">
        <f>既存設備!M40:P40</f>
        <v>0.47</v>
      </c>
      <c r="N40" s="196"/>
      <c r="O40" s="196"/>
      <c r="P40" s="197"/>
      <c r="Q40" s="198">
        <f>VLOOKUP(E40&amp;G40&amp;$I$22&amp;$I$6,'&lt;吸収式&gt;マスタ'!$AI$8:$AP$151,8,0)</f>
        <v>1.07</v>
      </c>
      <c r="R40" s="199"/>
      <c r="S40" s="200"/>
      <c r="T40" s="326">
        <f>既存設備!T40</f>
        <v>300</v>
      </c>
      <c r="U40" s="327"/>
      <c r="V40" s="327"/>
      <c r="W40" s="328">
        <f t="shared" si="1"/>
        <v>13017.9</v>
      </c>
      <c r="X40" s="329"/>
      <c r="Y40" s="329"/>
      <c r="Z40" s="329"/>
      <c r="AA40" s="330"/>
      <c r="AB40" s="291"/>
      <c r="AC40" s="291"/>
      <c r="AD40" s="291"/>
      <c r="AE40" s="291"/>
      <c r="AF40" s="291"/>
      <c r="AG40" s="291"/>
      <c r="AH40" s="123"/>
      <c r="AK40" s="72">
        <f>VLOOKUP(E40&amp;$I$22,'&lt;吸収式&gt;マスタ'!$Z$8:$AB$31,2,0)</f>
        <v>0.47</v>
      </c>
      <c r="AL40" s="72">
        <f>VLOOKUP(E40&amp;$I$22,'&lt;吸収式&gt;マスタ'!$Z$8:$AB$31,3,0)</f>
        <v>0</v>
      </c>
      <c r="AP40" s="89">
        <f t="shared" si="2"/>
        <v>79.400000000000006</v>
      </c>
      <c r="AS40" s="124"/>
    </row>
    <row r="41" spans="1:45" ht="15" customHeight="1">
      <c r="B41" s="250"/>
      <c r="C41" s="251"/>
      <c r="D41" s="252"/>
      <c r="E41" s="187">
        <v>10</v>
      </c>
      <c r="F41" s="209"/>
      <c r="G41" s="210" t="str">
        <f>既存設備!G41:I41</f>
        <v>冷房</v>
      </c>
      <c r="H41" s="211"/>
      <c r="I41" s="211"/>
      <c r="J41" s="325">
        <f t="shared" si="0"/>
        <v>85</v>
      </c>
      <c r="K41" s="325"/>
      <c r="L41" s="325"/>
      <c r="M41" s="195">
        <f>既存設備!M41:P41</f>
        <v>0.36399999999999999</v>
      </c>
      <c r="N41" s="196"/>
      <c r="O41" s="196"/>
      <c r="P41" s="197"/>
      <c r="Q41" s="198">
        <f>VLOOKUP(E41&amp;G41&amp;$I$22&amp;$I$6,'&lt;吸収式&gt;マスタ'!$AI$8:$AP$151,8,0)</f>
        <v>1.07</v>
      </c>
      <c r="R41" s="199"/>
      <c r="S41" s="200"/>
      <c r="T41" s="326">
        <f>既存設備!T41</f>
        <v>300</v>
      </c>
      <c r="U41" s="327"/>
      <c r="V41" s="327"/>
      <c r="W41" s="328">
        <f t="shared" si="1"/>
        <v>10081.9</v>
      </c>
      <c r="X41" s="329"/>
      <c r="Y41" s="329"/>
      <c r="Z41" s="329"/>
      <c r="AA41" s="330"/>
      <c r="AB41" s="291"/>
      <c r="AC41" s="291"/>
      <c r="AD41" s="291"/>
      <c r="AE41" s="291"/>
      <c r="AF41" s="291"/>
      <c r="AG41" s="291"/>
      <c r="AH41" s="123"/>
      <c r="AK41" s="72">
        <f>VLOOKUP(E41&amp;$I$22,'&lt;吸収式&gt;マスタ'!$Z$8:$AB$31,2,0)</f>
        <v>0.36399999999999999</v>
      </c>
      <c r="AL41" s="72">
        <f>VLOOKUP(E41&amp;$I$22,'&lt;吸収式&gt;マスタ'!$Z$8:$AB$31,3,0)</f>
        <v>0</v>
      </c>
      <c r="AP41" s="89">
        <f t="shared" si="2"/>
        <v>79.400000000000006</v>
      </c>
      <c r="AS41" s="124"/>
    </row>
    <row r="42" spans="1:45" ht="15" customHeight="1">
      <c r="B42" s="250"/>
      <c r="C42" s="251"/>
      <c r="D42" s="252"/>
      <c r="E42" s="187">
        <v>11</v>
      </c>
      <c r="F42" s="209"/>
      <c r="G42" s="210" t="str">
        <f>既存設備!G42:I42</f>
        <v>暖房</v>
      </c>
      <c r="H42" s="211"/>
      <c r="I42" s="211"/>
      <c r="J42" s="325">
        <f t="shared" si="0"/>
        <v>85</v>
      </c>
      <c r="K42" s="325"/>
      <c r="L42" s="325"/>
      <c r="M42" s="195">
        <f>既存設備!M42:P42</f>
        <v>0.154</v>
      </c>
      <c r="N42" s="196"/>
      <c r="O42" s="196"/>
      <c r="P42" s="197"/>
      <c r="Q42" s="198">
        <f>VLOOKUP(E42&amp;G42&amp;$I$22&amp;$I$6,'&lt;吸収式&gt;マスタ'!$AI$8:$AP$151,8,0)</f>
        <v>0.9</v>
      </c>
      <c r="R42" s="199"/>
      <c r="S42" s="200"/>
      <c r="T42" s="326">
        <f>既存設備!T42</f>
        <v>300</v>
      </c>
      <c r="U42" s="327"/>
      <c r="V42" s="327"/>
      <c r="W42" s="328">
        <f t="shared" si="1"/>
        <v>5071.2</v>
      </c>
      <c r="X42" s="329"/>
      <c r="Y42" s="329"/>
      <c r="Z42" s="329"/>
      <c r="AA42" s="330"/>
      <c r="AB42" s="291"/>
      <c r="AC42" s="291"/>
      <c r="AD42" s="291"/>
      <c r="AE42" s="291"/>
      <c r="AF42" s="291"/>
      <c r="AG42" s="291"/>
      <c r="AH42" s="123"/>
      <c r="AK42" s="72">
        <f>VLOOKUP(E42&amp;$I$22,'&lt;吸収式&gt;マスタ'!$Z$8:$AB$31,2,0)</f>
        <v>0</v>
      </c>
      <c r="AL42" s="72">
        <f>VLOOKUP(E42&amp;$I$22,'&lt;吸収式&gt;マスタ'!$Z$8:$AB$31,3,0)</f>
        <v>0.154</v>
      </c>
      <c r="AP42" s="89">
        <f t="shared" si="2"/>
        <v>94.4</v>
      </c>
      <c r="AS42" s="124"/>
    </row>
    <row r="43" spans="1:45" ht="15" customHeight="1">
      <c r="B43" s="250"/>
      <c r="C43" s="251"/>
      <c r="D43" s="252"/>
      <c r="E43" s="187">
        <v>12</v>
      </c>
      <c r="F43" s="209"/>
      <c r="G43" s="210" t="str">
        <f>既存設備!G43:I43</f>
        <v>暖房</v>
      </c>
      <c r="H43" s="211"/>
      <c r="I43" s="211"/>
      <c r="J43" s="325">
        <f t="shared" si="0"/>
        <v>85</v>
      </c>
      <c r="K43" s="325"/>
      <c r="L43" s="325"/>
      <c r="M43" s="195">
        <f>既存設備!M43:P43</f>
        <v>0.371</v>
      </c>
      <c r="N43" s="196"/>
      <c r="O43" s="196"/>
      <c r="P43" s="197"/>
      <c r="Q43" s="198">
        <f>VLOOKUP(E43&amp;G43&amp;$I$22&amp;$I$6,'&lt;吸収式&gt;マスタ'!$AI$8:$AP$151,8,0)</f>
        <v>1</v>
      </c>
      <c r="R43" s="199"/>
      <c r="S43" s="200"/>
      <c r="T43" s="326">
        <f>既存設備!T43</f>
        <v>300</v>
      </c>
      <c r="U43" s="327"/>
      <c r="V43" s="327"/>
      <c r="W43" s="328">
        <f t="shared" si="1"/>
        <v>11000.5</v>
      </c>
      <c r="X43" s="329"/>
      <c r="Y43" s="329"/>
      <c r="Z43" s="329"/>
      <c r="AA43" s="330"/>
      <c r="AB43" s="291"/>
      <c r="AC43" s="291"/>
      <c r="AD43" s="291"/>
      <c r="AE43" s="291"/>
      <c r="AF43" s="291"/>
      <c r="AG43" s="291"/>
      <c r="AH43" s="123"/>
      <c r="AK43" s="72">
        <f>VLOOKUP(E43&amp;$I$22,'&lt;吸収式&gt;マスタ'!$Z$8:$AB$31,2,0)</f>
        <v>0</v>
      </c>
      <c r="AL43" s="72">
        <f>VLOOKUP(E43&amp;$I$22,'&lt;吸収式&gt;マスタ'!$Z$8:$AB$31,3,0)</f>
        <v>0.371</v>
      </c>
      <c r="AP43" s="89">
        <f t="shared" si="2"/>
        <v>85</v>
      </c>
      <c r="AS43" s="124"/>
    </row>
    <row r="44" spans="1:45" ht="15" customHeight="1">
      <c r="B44" s="250"/>
      <c r="C44" s="251"/>
      <c r="D44" s="252"/>
      <c r="E44" s="187">
        <v>1</v>
      </c>
      <c r="F44" s="209"/>
      <c r="G44" s="210" t="str">
        <f>既存設備!G44:I44</f>
        <v>暖房</v>
      </c>
      <c r="H44" s="211"/>
      <c r="I44" s="211"/>
      <c r="J44" s="325">
        <f t="shared" si="0"/>
        <v>85</v>
      </c>
      <c r="K44" s="325"/>
      <c r="L44" s="325"/>
      <c r="M44" s="195">
        <f>既存設備!M44:P44</f>
        <v>0.56200000000000006</v>
      </c>
      <c r="N44" s="196"/>
      <c r="O44" s="196"/>
      <c r="P44" s="197"/>
      <c r="Q44" s="198">
        <f>VLOOKUP(E44&amp;G44&amp;$I$22&amp;$I$6,'&lt;吸収式&gt;マスタ'!$AI$8:$AP$151,8,0)</f>
        <v>1</v>
      </c>
      <c r="R44" s="199"/>
      <c r="S44" s="200"/>
      <c r="T44" s="326">
        <f>既存設備!T44</f>
        <v>300</v>
      </c>
      <c r="U44" s="327"/>
      <c r="V44" s="327"/>
      <c r="W44" s="328">
        <f t="shared" si="1"/>
        <v>16663.900000000001</v>
      </c>
      <c r="X44" s="329"/>
      <c r="Y44" s="329"/>
      <c r="Z44" s="329"/>
      <c r="AA44" s="330"/>
      <c r="AB44" s="291"/>
      <c r="AC44" s="291"/>
      <c r="AD44" s="291"/>
      <c r="AE44" s="291"/>
      <c r="AF44" s="291"/>
      <c r="AG44" s="291"/>
      <c r="AH44" s="123"/>
      <c r="AK44" s="72">
        <f>VLOOKUP(E44&amp;$I$22,'&lt;吸収式&gt;マスタ'!$Z$8:$AB$31,2,0)</f>
        <v>0</v>
      </c>
      <c r="AL44" s="72">
        <f>VLOOKUP(E44&amp;$I$22,'&lt;吸収式&gt;マスタ'!$Z$8:$AB$31,3,0)</f>
        <v>0.56200000000000006</v>
      </c>
      <c r="AP44" s="89">
        <f t="shared" si="2"/>
        <v>85</v>
      </c>
      <c r="AS44" s="124"/>
    </row>
    <row r="45" spans="1:45" ht="15" customHeight="1">
      <c r="A45" s="96"/>
      <c r="B45" s="250"/>
      <c r="C45" s="251"/>
      <c r="D45" s="252"/>
      <c r="E45" s="187">
        <v>2</v>
      </c>
      <c r="F45" s="209"/>
      <c r="G45" s="210" t="str">
        <f>既存設備!G45:I45</f>
        <v>暖房</v>
      </c>
      <c r="H45" s="211"/>
      <c r="I45" s="211"/>
      <c r="J45" s="325">
        <f t="shared" si="0"/>
        <v>85</v>
      </c>
      <c r="K45" s="325"/>
      <c r="L45" s="325"/>
      <c r="M45" s="195">
        <f>既存設備!M45:P45</f>
        <v>0.56200000000000006</v>
      </c>
      <c r="N45" s="196"/>
      <c r="O45" s="196"/>
      <c r="P45" s="197"/>
      <c r="Q45" s="198">
        <f>VLOOKUP(E45&amp;G45&amp;$I$22&amp;$I$6,'&lt;吸収式&gt;マスタ'!$AI$8:$AP$151,8,0)</f>
        <v>1</v>
      </c>
      <c r="R45" s="199"/>
      <c r="S45" s="200"/>
      <c r="T45" s="326">
        <f>既存設備!T45</f>
        <v>300</v>
      </c>
      <c r="U45" s="327"/>
      <c r="V45" s="327"/>
      <c r="W45" s="328">
        <f t="shared" si="1"/>
        <v>16663.900000000001</v>
      </c>
      <c r="X45" s="329"/>
      <c r="Y45" s="329"/>
      <c r="Z45" s="329"/>
      <c r="AA45" s="330"/>
      <c r="AB45" s="308" t="s">
        <v>228</v>
      </c>
      <c r="AC45" s="312"/>
      <c r="AD45" s="312"/>
      <c r="AE45" s="312"/>
      <c r="AF45" s="312"/>
      <c r="AG45" s="312"/>
      <c r="AH45" s="312"/>
      <c r="AK45" s="72">
        <f>VLOOKUP(E45&amp;$I$22,'&lt;吸収式&gt;マスタ'!$Z$8:$AB$31,2,0)</f>
        <v>0</v>
      </c>
      <c r="AL45" s="72">
        <f>VLOOKUP(E45&amp;$I$22,'&lt;吸収式&gt;マスタ'!$Z$8:$AB$31,3,0)</f>
        <v>0.56200000000000006</v>
      </c>
      <c r="AP45" s="89">
        <f t="shared" si="2"/>
        <v>85</v>
      </c>
      <c r="AS45" s="124"/>
    </row>
    <row r="46" spans="1:45" ht="15" customHeight="1" thickBot="1">
      <c r="A46" s="96"/>
      <c r="B46" s="250"/>
      <c r="C46" s="251"/>
      <c r="D46" s="252"/>
      <c r="E46" s="187">
        <v>3</v>
      </c>
      <c r="F46" s="209"/>
      <c r="G46" s="210" t="str">
        <f>既存設備!G46:I46</f>
        <v>暖房</v>
      </c>
      <c r="H46" s="211"/>
      <c r="I46" s="211"/>
      <c r="J46" s="325">
        <f t="shared" si="0"/>
        <v>85</v>
      </c>
      <c r="K46" s="325"/>
      <c r="L46" s="325"/>
      <c r="M46" s="195">
        <f>既存設備!M46:P46</f>
        <v>0.27300000000000002</v>
      </c>
      <c r="N46" s="196"/>
      <c r="O46" s="196"/>
      <c r="P46" s="197"/>
      <c r="Q46" s="198">
        <f>VLOOKUP(E46&amp;G46&amp;$I$22&amp;$I$6,'&lt;吸収式&gt;マスタ'!$AI$8:$AP$151,8,0)</f>
        <v>0.9</v>
      </c>
      <c r="R46" s="199"/>
      <c r="S46" s="200"/>
      <c r="T46" s="352">
        <f>既存設備!T46</f>
        <v>300</v>
      </c>
      <c r="U46" s="353"/>
      <c r="V46" s="353"/>
      <c r="W46" s="334">
        <f t="shared" si="1"/>
        <v>8989.9</v>
      </c>
      <c r="X46" s="335"/>
      <c r="Y46" s="335"/>
      <c r="Z46" s="335"/>
      <c r="AA46" s="336"/>
      <c r="AB46" s="312"/>
      <c r="AC46" s="312"/>
      <c r="AD46" s="312"/>
      <c r="AE46" s="312"/>
      <c r="AF46" s="312"/>
      <c r="AG46" s="312"/>
      <c r="AH46" s="312"/>
      <c r="AK46" s="72">
        <f>VLOOKUP(E46&amp;$I$22,'&lt;吸収式&gt;マスタ'!$Z$8:$AB$31,2,0)</f>
        <v>0</v>
      </c>
      <c r="AL46" s="72">
        <f>VLOOKUP(E46&amp;$I$22,'&lt;吸収式&gt;マスタ'!$Z$8:$AB$31,3,0)</f>
        <v>0.27300000000000002</v>
      </c>
      <c r="AP46" s="89">
        <f t="shared" si="2"/>
        <v>94.4</v>
      </c>
      <c r="AS46" s="124"/>
    </row>
    <row r="47" spans="1:45" s="100" customFormat="1" ht="15" customHeight="1" thickTop="1">
      <c r="A47" s="96"/>
      <c r="B47" s="253"/>
      <c r="C47" s="254"/>
      <c r="D47" s="255"/>
      <c r="E47" s="277" t="s">
        <v>58</v>
      </c>
      <c r="F47" s="278"/>
      <c r="G47" s="337" t="s">
        <v>90</v>
      </c>
      <c r="H47" s="338"/>
      <c r="I47" s="339"/>
      <c r="J47" s="340" t="s">
        <v>90</v>
      </c>
      <c r="K47" s="340"/>
      <c r="L47" s="340"/>
      <c r="M47" s="341" t="s">
        <v>90</v>
      </c>
      <c r="N47" s="342"/>
      <c r="O47" s="342"/>
      <c r="P47" s="343"/>
      <c r="Q47" s="344" t="s">
        <v>90</v>
      </c>
      <c r="R47" s="345"/>
      <c r="S47" s="346"/>
      <c r="T47" s="347">
        <f>SUM(T35:V46)</f>
        <v>3600</v>
      </c>
      <c r="U47" s="347"/>
      <c r="V47" s="348"/>
      <c r="W47" s="349">
        <f>SUM(W35:AA46)</f>
        <v>145784.59999999998</v>
      </c>
      <c r="X47" s="350"/>
      <c r="Y47" s="350"/>
      <c r="Z47" s="350"/>
      <c r="AA47" s="351"/>
      <c r="AB47" s="312"/>
      <c r="AC47" s="312"/>
      <c r="AD47" s="312"/>
      <c r="AE47" s="312"/>
      <c r="AF47" s="312"/>
      <c r="AG47" s="312"/>
      <c r="AH47" s="312"/>
      <c r="AI47" s="47"/>
      <c r="AJ47" s="47"/>
      <c r="AK47" s="126"/>
      <c r="AL47" s="126"/>
      <c r="AO47" s="47"/>
      <c r="AQ47" s="127"/>
    </row>
    <row r="48" spans="1:45" s="100" customFormat="1" ht="15" customHeight="1">
      <c r="A48" s="96"/>
      <c r="B48" s="99" t="str">
        <f>既存設備!B48</f>
        <v>指定負荷率使用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44"/>
      <c r="AC48" s="44"/>
      <c r="AD48" s="44"/>
      <c r="AE48" s="44"/>
      <c r="AF48" s="44"/>
      <c r="AG48" s="44"/>
      <c r="AH48" s="44"/>
      <c r="AI48" s="47"/>
      <c r="AJ48" s="47"/>
      <c r="AK48" s="126"/>
      <c r="AL48" s="126"/>
      <c r="AO48" s="47"/>
      <c r="AQ48" s="127"/>
    </row>
    <row r="49" spans="1:43" s="100" customFormat="1" ht="3" customHeight="1">
      <c r="A49" s="96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28"/>
      <c r="AC49" s="128"/>
      <c r="AD49" s="128"/>
      <c r="AE49" s="128"/>
      <c r="AF49" s="128"/>
      <c r="AG49" s="128"/>
      <c r="AH49" s="128"/>
      <c r="AI49" s="47"/>
      <c r="AJ49" s="47"/>
      <c r="AK49" s="126"/>
      <c r="AL49" s="126"/>
      <c r="AO49" s="47"/>
      <c r="AQ49" s="127"/>
    </row>
    <row r="50" spans="1:43" s="100" customFormat="1" ht="15" customHeight="1">
      <c r="A50" s="47" t="s">
        <v>223</v>
      </c>
      <c r="B50" s="56"/>
      <c r="C50" s="56"/>
      <c r="D50" s="56"/>
      <c r="E50" s="104"/>
      <c r="F50" s="104"/>
      <c r="G50" s="76"/>
      <c r="H50" s="76"/>
      <c r="I50" s="76"/>
      <c r="J50" s="104"/>
      <c r="K50" s="76"/>
      <c r="L50" s="76"/>
      <c r="M50" s="76"/>
      <c r="N50" s="76"/>
      <c r="O50" s="76"/>
      <c r="P50" s="76"/>
      <c r="Q50" s="76"/>
      <c r="R50" s="76"/>
      <c r="S50" s="76"/>
      <c r="T50" s="105"/>
      <c r="U50" s="105"/>
      <c r="V50" s="105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57"/>
      <c r="AI50" s="47"/>
      <c r="AJ50" s="47"/>
      <c r="AK50" s="47"/>
      <c r="AL50" s="47"/>
      <c r="AO50" s="47"/>
    </row>
    <row r="51" spans="1:43" s="100" customFormat="1" ht="15" customHeight="1">
      <c r="A51" s="47"/>
      <c r="B51" s="247" t="s">
        <v>92</v>
      </c>
      <c r="C51" s="248"/>
      <c r="D51" s="249"/>
      <c r="E51" s="173" t="s">
        <v>56</v>
      </c>
      <c r="F51" s="175"/>
      <c r="G51" s="173" t="s">
        <v>14</v>
      </c>
      <c r="H51" s="174"/>
      <c r="I51" s="175"/>
      <c r="J51" s="173" t="s">
        <v>95</v>
      </c>
      <c r="K51" s="174"/>
      <c r="L51" s="174"/>
      <c r="M51" s="174"/>
      <c r="N51" s="174"/>
      <c r="O51" s="174"/>
      <c r="P51" s="174"/>
      <c r="Q51" s="174"/>
      <c r="R51" s="174"/>
      <c r="S51" s="175"/>
      <c r="T51" s="357" t="s">
        <v>110</v>
      </c>
      <c r="U51" s="260"/>
      <c r="V51" s="261"/>
      <c r="W51" s="173" t="s">
        <v>138</v>
      </c>
      <c r="X51" s="174"/>
      <c r="Y51" s="174"/>
      <c r="Z51" s="174"/>
      <c r="AA51" s="174"/>
      <c r="AB51" s="231"/>
      <c r="AC51" s="232"/>
      <c r="AD51" s="232"/>
      <c r="AE51" s="232"/>
      <c r="AF51" s="232"/>
      <c r="AG51" s="232"/>
      <c r="AH51" s="57"/>
      <c r="AI51" s="47"/>
      <c r="AJ51" s="47"/>
      <c r="AK51" s="47"/>
      <c r="AL51" s="47"/>
      <c r="AM51" s="47"/>
      <c r="AN51" s="47"/>
      <c r="AO51" s="47"/>
    </row>
    <row r="52" spans="1:43" s="100" customFormat="1" ht="15" customHeight="1" thickBot="1">
      <c r="A52" s="47"/>
      <c r="B52" s="250"/>
      <c r="C52" s="251"/>
      <c r="D52" s="252"/>
      <c r="E52" s="143"/>
      <c r="F52" s="145"/>
      <c r="G52" s="143"/>
      <c r="H52" s="144"/>
      <c r="I52" s="145"/>
      <c r="J52" s="143" t="s">
        <v>112</v>
      </c>
      <c r="K52" s="144"/>
      <c r="L52" s="144"/>
      <c r="M52" s="144"/>
      <c r="N52" s="144"/>
      <c r="O52" s="144"/>
      <c r="P52" s="144"/>
      <c r="Q52" s="144"/>
      <c r="R52" s="144"/>
      <c r="S52" s="145"/>
      <c r="T52" s="233" t="s">
        <v>132</v>
      </c>
      <c r="U52" s="234"/>
      <c r="V52" s="235"/>
      <c r="W52" s="321" t="s">
        <v>136</v>
      </c>
      <c r="X52" s="322"/>
      <c r="Y52" s="322"/>
      <c r="Z52" s="322"/>
      <c r="AA52" s="322"/>
      <c r="AB52" s="231"/>
      <c r="AC52" s="232"/>
      <c r="AD52" s="232"/>
      <c r="AE52" s="232"/>
      <c r="AF52" s="232"/>
      <c r="AG52" s="232"/>
      <c r="AH52" s="57"/>
      <c r="AI52" s="47"/>
      <c r="AJ52" s="47"/>
      <c r="AK52" s="47"/>
      <c r="AL52" s="47"/>
      <c r="AM52" s="47"/>
      <c r="AN52" s="47"/>
      <c r="AO52" s="47"/>
    </row>
    <row r="53" spans="1:43" s="100" customFormat="1" ht="15" customHeight="1">
      <c r="A53" s="47"/>
      <c r="B53" s="250"/>
      <c r="C53" s="251"/>
      <c r="D53" s="252"/>
      <c r="E53" s="187">
        <v>4</v>
      </c>
      <c r="F53" s="209"/>
      <c r="G53" s="210" t="str">
        <f>G35</f>
        <v>暖房</v>
      </c>
      <c r="H53" s="211"/>
      <c r="I53" s="211"/>
      <c r="J53" s="354">
        <f t="shared" ref="J53:J64" si="3">IF(G53="冷房",$AN$28,0)</f>
        <v>0</v>
      </c>
      <c r="K53" s="355"/>
      <c r="L53" s="355"/>
      <c r="M53" s="355"/>
      <c r="N53" s="355"/>
      <c r="O53" s="355"/>
      <c r="P53" s="355"/>
      <c r="Q53" s="355"/>
      <c r="R53" s="355"/>
      <c r="S53" s="356"/>
      <c r="T53" s="215">
        <f t="shared" ref="T53:T64" si="4">T35</f>
        <v>300</v>
      </c>
      <c r="U53" s="216"/>
      <c r="V53" s="216"/>
      <c r="W53" s="331">
        <f t="shared" ref="W53:W64" si="5">ROUNDDOWN(J53*T53*$I$23,1)</f>
        <v>0</v>
      </c>
      <c r="X53" s="332"/>
      <c r="Y53" s="332"/>
      <c r="Z53" s="332"/>
      <c r="AA53" s="333"/>
      <c r="AB53" s="291"/>
      <c r="AC53" s="291"/>
      <c r="AD53" s="291"/>
      <c r="AE53" s="291"/>
      <c r="AF53" s="291"/>
      <c r="AG53" s="291"/>
      <c r="AH53" s="125"/>
      <c r="AI53" s="47"/>
      <c r="AJ53" s="47"/>
      <c r="AK53" s="47"/>
      <c r="AL53" s="47"/>
      <c r="AM53" s="47"/>
      <c r="AN53" s="47"/>
      <c r="AO53" s="47"/>
    </row>
    <row r="54" spans="1:43" s="100" customFormat="1" ht="15" customHeight="1">
      <c r="A54" s="47"/>
      <c r="B54" s="250"/>
      <c r="C54" s="251"/>
      <c r="D54" s="252"/>
      <c r="E54" s="187">
        <v>5</v>
      </c>
      <c r="F54" s="209"/>
      <c r="G54" s="210" t="str">
        <f t="shared" ref="G54:G64" si="6">G36</f>
        <v>冷房</v>
      </c>
      <c r="H54" s="211"/>
      <c r="I54" s="211"/>
      <c r="J54" s="354">
        <f t="shared" si="3"/>
        <v>21.3</v>
      </c>
      <c r="K54" s="355"/>
      <c r="L54" s="355"/>
      <c r="M54" s="355"/>
      <c r="N54" s="355"/>
      <c r="O54" s="355"/>
      <c r="P54" s="355"/>
      <c r="Q54" s="355"/>
      <c r="R54" s="355"/>
      <c r="S54" s="356"/>
      <c r="T54" s="215">
        <f t="shared" si="4"/>
        <v>300</v>
      </c>
      <c r="U54" s="216"/>
      <c r="V54" s="216"/>
      <c r="W54" s="328">
        <f t="shared" si="5"/>
        <v>6390</v>
      </c>
      <c r="X54" s="329"/>
      <c r="Y54" s="329"/>
      <c r="Z54" s="329"/>
      <c r="AA54" s="330"/>
      <c r="AB54" s="291"/>
      <c r="AC54" s="291"/>
      <c r="AD54" s="291"/>
      <c r="AE54" s="291"/>
      <c r="AF54" s="291"/>
      <c r="AG54" s="291"/>
      <c r="AH54" s="125"/>
      <c r="AI54" s="47"/>
      <c r="AJ54" s="47"/>
      <c r="AK54" s="47"/>
      <c r="AL54" s="47"/>
      <c r="AM54" s="47"/>
      <c r="AN54" s="47"/>
      <c r="AO54" s="47"/>
    </row>
    <row r="55" spans="1:43" ht="15" customHeight="1">
      <c r="B55" s="250"/>
      <c r="C55" s="251"/>
      <c r="D55" s="252"/>
      <c r="E55" s="187">
        <v>6</v>
      </c>
      <c r="F55" s="209"/>
      <c r="G55" s="210" t="str">
        <f t="shared" si="6"/>
        <v>冷房</v>
      </c>
      <c r="H55" s="211"/>
      <c r="I55" s="211"/>
      <c r="J55" s="354">
        <f t="shared" si="3"/>
        <v>21.3</v>
      </c>
      <c r="K55" s="355"/>
      <c r="L55" s="355"/>
      <c r="M55" s="355"/>
      <c r="N55" s="355"/>
      <c r="O55" s="355"/>
      <c r="P55" s="355"/>
      <c r="Q55" s="355"/>
      <c r="R55" s="355"/>
      <c r="S55" s="356"/>
      <c r="T55" s="215">
        <f t="shared" si="4"/>
        <v>300</v>
      </c>
      <c r="U55" s="216"/>
      <c r="V55" s="216"/>
      <c r="W55" s="328">
        <f t="shared" si="5"/>
        <v>6390</v>
      </c>
      <c r="X55" s="329"/>
      <c r="Y55" s="329"/>
      <c r="Z55" s="329"/>
      <c r="AA55" s="330"/>
      <c r="AB55" s="291"/>
      <c r="AC55" s="291"/>
      <c r="AD55" s="291"/>
      <c r="AE55" s="291"/>
      <c r="AF55" s="291"/>
      <c r="AG55" s="291"/>
      <c r="AH55" s="125"/>
    </row>
    <row r="56" spans="1:43" ht="15" customHeight="1">
      <c r="B56" s="250"/>
      <c r="C56" s="251"/>
      <c r="D56" s="252"/>
      <c r="E56" s="187">
        <v>7</v>
      </c>
      <c r="F56" s="209"/>
      <c r="G56" s="210" t="str">
        <f t="shared" si="6"/>
        <v>冷房</v>
      </c>
      <c r="H56" s="211"/>
      <c r="I56" s="211"/>
      <c r="J56" s="354">
        <f t="shared" si="3"/>
        <v>21.3</v>
      </c>
      <c r="K56" s="355"/>
      <c r="L56" s="355"/>
      <c r="M56" s="355"/>
      <c r="N56" s="355"/>
      <c r="O56" s="355"/>
      <c r="P56" s="355"/>
      <c r="Q56" s="355"/>
      <c r="R56" s="355"/>
      <c r="S56" s="356"/>
      <c r="T56" s="215">
        <f t="shared" si="4"/>
        <v>300</v>
      </c>
      <c r="U56" s="216"/>
      <c r="V56" s="216"/>
      <c r="W56" s="328">
        <f t="shared" si="5"/>
        <v>6390</v>
      </c>
      <c r="X56" s="329"/>
      <c r="Y56" s="329"/>
      <c r="Z56" s="329"/>
      <c r="AA56" s="330"/>
      <c r="AB56" s="291"/>
      <c r="AC56" s="291"/>
      <c r="AD56" s="291"/>
      <c r="AE56" s="291"/>
      <c r="AF56" s="291"/>
      <c r="AG56" s="291"/>
      <c r="AH56" s="125"/>
    </row>
    <row r="57" spans="1:43" s="100" customFormat="1" ht="15" customHeight="1">
      <c r="A57" s="47"/>
      <c r="B57" s="250"/>
      <c r="C57" s="251"/>
      <c r="D57" s="252"/>
      <c r="E57" s="187">
        <v>8</v>
      </c>
      <c r="F57" s="209"/>
      <c r="G57" s="210" t="str">
        <f t="shared" si="6"/>
        <v>冷房</v>
      </c>
      <c r="H57" s="211"/>
      <c r="I57" s="211"/>
      <c r="J57" s="354">
        <f t="shared" si="3"/>
        <v>21.3</v>
      </c>
      <c r="K57" s="355"/>
      <c r="L57" s="355"/>
      <c r="M57" s="355"/>
      <c r="N57" s="355"/>
      <c r="O57" s="355"/>
      <c r="P57" s="355"/>
      <c r="Q57" s="355"/>
      <c r="R57" s="355"/>
      <c r="S57" s="356"/>
      <c r="T57" s="215">
        <f t="shared" si="4"/>
        <v>300</v>
      </c>
      <c r="U57" s="216"/>
      <c r="V57" s="216"/>
      <c r="W57" s="328">
        <f t="shared" si="5"/>
        <v>6390</v>
      </c>
      <c r="X57" s="329"/>
      <c r="Y57" s="329"/>
      <c r="Z57" s="329"/>
      <c r="AA57" s="330"/>
      <c r="AB57" s="291"/>
      <c r="AC57" s="291"/>
      <c r="AD57" s="291"/>
      <c r="AE57" s="291"/>
      <c r="AF57" s="291"/>
      <c r="AG57" s="291"/>
      <c r="AH57" s="125"/>
      <c r="AI57" s="47"/>
      <c r="AJ57" s="47"/>
      <c r="AK57" s="47"/>
      <c r="AL57" s="47"/>
      <c r="AM57" s="47"/>
      <c r="AN57" s="47"/>
      <c r="AO57" s="47"/>
    </row>
    <row r="58" spans="1:43" s="100" customFormat="1" ht="15" customHeight="1">
      <c r="A58" s="47"/>
      <c r="B58" s="250"/>
      <c r="C58" s="251"/>
      <c r="D58" s="252"/>
      <c r="E58" s="187">
        <v>9</v>
      </c>
      <c r="F58" s="209"/>
      <c r="G58" s="210" t="str">
        <f t="shared" si="6"/>
        <v>冷房</v>
      </c>
      <c r="H58" s="211"/>
      <c r="I58" s="211"/>
      <c r="J58" s="354">
        <f t="shared" si="3"/>
        <v>21.3</v>
      </c>
      <c r="K58" s="355"/>
      <c r="L58" s="355"/>
      <c r="M58" s="355"/>
      <c r="N58" s="355"/>
      <c r="O58" s="355"/>
      <c r="P58" s="355"/>
      <c r="Q58" s="355"/>
      <c r="R58" s="355"/>
      <c r="S58" s="356"/>
      <c r="T58" s="215">
        <f t="shared" si="4"/>
        <v>300</v>
      </c>
      <c r="U58" s="216"/>
      <c r="V58" s="216"/>
      <c r="W58" s="328">
        <f t="shared" si="5"/>
        <v>6390</v>
      </c>
      <c r="X58" s="329"/>
      <c r="Y58" s="329"/>
      <c r="Z58" s="329"/>
      <c r="AA58" s="330"/>
      <c r="AB58" s="291"/>
      <c r="AC58" s="291"/>
      <c r="AD58" s="291"/>
      <c r="AE58" s="291"/>
      <c r="AF58" s="291"/>
      <c r="AG58" s="291"/>
      <c r="AH58" s="125"/>
      <c r="AI58" s="47"/>
      <c r="AJ58" s="47"/>
      <c r="AK58" s="47"/>
      <c r="AL58" s="47"/>
      <c r="AM58" s="47"/>
      <c r="AN58" s="47"/>
      <c r="AO58" s="47"/>
    </row>
    <row r="59" spans="1:43" s="100" customFormat="1" ht="15" customHeight="1">
      <c r="A59" s="47"/>
      <c r="B59" s="250"/>
      <c r="C59" s="251"/>
      <c r="D59" s="252"/>
      <c r="E59" s="187">
        <v>10</v>
      </c>
      <c r="F59" s="209"/>
      <c r="G59" s="210" t="str">
        <f t="shared" si="6"/>
        <v>冷房</v>
      </c>
      <c r="H59" s="211"/>
      <c r="I59" s="211"/>
      <c r="J59" s="354">
        <f t="shared" si="3"/>
        <v>21.3</v>
      </c>
      <c r="K59" s="355"/>
      <c r="L59" s="355"/>
      <c r="M59" s="355"/>
      <c r="N59" s="355"/>
      <c r="O59" s="355"/>
      <c r="P59" s="355"/>
      <c r="Q59" s="355"/>
      <c r="R59" s="355"/>
      <c r="S59" s="356"/>
      <c r="T59" s="215">
        <f t="shared" si="4"/>
        <v>300</v>
      </c>
      <c r="U59" s="216"/>
      <c r="V59" s="216"/>
      <c r="W59" s="328">
        <f t="shared" si="5"/>
        <v>6390</v>
      </c>
      <c r="X59" s="329"/>
      <c r="Y59" s="329"/>
      <c r="Z59" s="329"/>
      <c r="AA59" s="330"/>
      <c r="AB59" s="291"/>
      <c r="AC59" s="291"/>
      <c r="AD59" s="291"/>
      <c r="AE59" s="291"/>
      <c r="AF59" s="291"/>
      <c r="AG59" s="291"/>
      <c r="AH59" s="125"/>
      <c r="AI59" s="47"/>
      <c r="AJ59" s="47"/>
      <c r="AK59" s="47"/>
      <c r="AL59" s="47"/>
      <c r="AM59" s="47"/>
      <c r="AN59" s="47"/>
      <c r="AO59" s="47"/>
    </row>
    <row r="60" spans="1:43" s="100" customFormat="1" ht="15" customHeight="1">
      <c r="A60" s="47"/>
      <c r="B60" s="250"/>
      <c r="C60" s="251"/>
      <c r="D60" s="252"/>
      <c r="E60" s="187">
        <v>11</v>
      </c>
      <c r="F60" s="209"/>
      <c r="G60" s="210" t="str">
        <f t="shared" si="6"/>
        <v>暖房</v>
      </c>
      <c r="H60" s="211"/>
      <c r="I60" s="211"/>
      <c r="J60" s="354">
        <f t="shared" si="3"/>
        <v>0</v>
      </c>
      <c r="K60" s="355"/>
      <c r="L60" s="355"/>
      <c r="M60" s="355"/>
      <c r="N60" s="355"/>
      <c r="O60" s="355"/>
      <c r="P60" s="355"/>
      <c r="Q60" s="355"/>
      <c r="R60" s="355"/>
      <c r="S60" s="356"/>
      <c r="T60" s="215">
        <f t="shared" si="4"/>
        <v>300</v>
      </c>
      <c r="U60" s="216"/>
      <c r="V60" s="216"/>
      <c r="W60" s="328">
        <f t="shared" si="5"/>
        <v>0</v>
      </c>
      <c r="X60" s="329"/>
      <c r="Y60" s="329"/>
      <c r="Z60" s="329"/>
      <c r="AA60" s="330"/>
      <c r="AB60" s="291"/>
      <c r="AC60" s="291"/>
      <c r="AD60" s="291"/>
      <c r="AE60" s="291"/>
      <c r="AF60" s="291"/>
      <c r="AG60" s="291"/>
      <c r="AH60" s="125"/>
      <c r="AI60" s="47"/>
      <c r="AJ60" s="47"/>
      <c r="AK60" s="47"/>
      <c r="AL60" s="47"/>
      <c r="AM60" s="47"/>
      <c r="AN60" s="47"/>
      <c r="AO60" s="47"/>
    </row>
    <row r="61" spans="1:43" s="100" customFormat="1" ht="15" customHeight="1">
      <c r="A61" s="47"/>
      <c r="B61" s="250"/>
      <c r="C61" s="251"/>
      <c r="D61" s="252"/>
      <c r="E61" s="187">
        <v>12</v>
      </c>
      <c r="F61" s="209"/>
      <c r="G61" s="210" t="str">
        <f t="shared" si="6"/>
        <v>暖房</v>
      </c>
      <c r="H61" s="211"/>
      <c r="I61" s="211"/>
      <c r="J61" s="354">
        <f t="shared" si="3"/>
        <v>0</v>
      </c>
      <c r="K61" s="355"/>
      <c r="L61" s="355"/>
      <c r="M61" s="355"/>
      <c r="N61" s="355"/>
      <c r="O61" s="355"/>
      <c r="P61" s="355"/>
      <c r="Q61" s="355"/>
      <c r="R61" s="355"/>
      <c r="S61" s="356"/>
      <c r="T61" s="215">
        <f t="shared" si="4"/>
        <v>300</v>
      </c>
      <c r="U61" s="216"/>
      <c r="V61" s="216"/>
      <c r="W61" s="328">
        <f t="shared" si="5"/>
        <v>0</v>
      </c>
      <c r="X61" s="329"/>
      <c r="Y61" s="329"/>
      <c r="Z61" s="329"/>
      <c r="AA61" s="330"/>
      <c r="AB61" s="291"/>
      <c r="AC61" s="291"/>
      <c r="AD61" s="291"/>
      <c r="AE61" s="291"/>
      <c r="AF61" s="291"/>
      <c r="AG61" s="291"/>
      <c r="AH61" s="125"/>
      <c r="AI61" s="47"/>
      <c r="AJ61" s="47"/>
      <c r="AK61" s="47"/>
      <c r="AL61" s="47"/>
      <c r="AM61" s="47"/>
      <c r="AN61" s="47"/>
      <c r="AO61" s="47"/>
    </row>
    <row r="62" spans="1:43" s="100" customFormat="1" ht="15" customHeight="1">
      <c r="A62" s="47"/>
      <c r="B62" s="250"/>
      <c r="C62" s="251"/>
      <c r="D62" s="252"/>
      <c r="E62" s="187">
        <v>1</v>
      </c>
      <c r="F62" s="209"/>
      <c r="G62" s="210" t="str">
        <f t="shared" si="6"/>
        <v>暖房</v>
      </c>
      <c r="H62" s="211"/>
      <c r="I62" s="211"/>
      <c r="J62" s="354">
        <f t="shared" si="3"/>
        <v>0</v>
      </c>
      <c r="K62" s="355"/>
      <c r="L62" s="355"/>
      <c r="M62" s="355"/>
      <c r="N62" s="355"/>
      <c r="O62" s="355"/>
      <c r="P62" s="355"/>
      <c r="Q62" s="355"/>
      <c r="R62" s="355"/>
      <c r="S62" s="356"/>
      <c r="T62" s="215">
        <f t="shared" si="4"/>
        <v>300</v>
      </c>
      <c r="U62" s="216"/>
      <c r="V62" s="216"/>
      <c r="W62" s="328">
        <f t="shared" si="5"/>
        <v>0</v>
      </c>
      <c r="X62" s="329"/>
      <c r="Y62" s="329"/>
      <c r="Z62" s="329"/>
      <c r="AA62" s="330"/>
      <c r="AB62" s="291"/>
      <c r="AC62" s="291"/>
      <c r="AD62" s="291"/>
      <c r="AE62" s="291"/>
      <c r="AF62" s="291"/>
      <c r="AG62" s="291"/>
      <c r="AH62" s="125"/>
      <c r="AI62" s="47"/>
      <c r="AJ62" s="47"/>
      <c r="AK62" s="47"/>
      <c r="AL62" s="47"/>
      <c r="AM62" s="47"/>
      <c r="AN62" s="47"/>
      <c r="AO62" s="47"/>
    </row>
    <row r="63" spans="1:43" s="100" customFormat="1" ht="15" customHeight="1">
      <c r="A63" s="47"/>
      <c r="B63" s="250"/>
      <c r="C63" s="251"/>
      <c r="D63" s="252"/>
      <c r="E63" s="187">
        <v>2</v>
      </c>
      <c r="F63" s="209"/>
      <c r="G63" s="210" t="str">
        <f t="shared" si="6"/>
        <v>暖房</v>
      </c>
      <c r="H63" s="211"/>
      <c r="I63" s="211"/>
      <c r="J63" s="354">
        <f t="shared" si="3"/>
        <v>0</v>
      </c>
      <c r="K63" s="355"/>
      <c r="L63" s="355"/>
      <c r="M63" s="355"/>
      <c r="N63" s="355"/>
      <c r="O63" s="355"/>
      <c r="P63" s="355"/>
      <c r="Q63" s="355"/>
      <c r="R63" s="355"/>
      <c r="S63" s="356"/>
      <c r="T63" s="215">
        <f t="shared" si="4"/>
        <v>300</v>
      </c>
      <c r="U63" s="216"/>
      <c r="V63" s="216"/>
      <c r="W63" s="328">
        <f t="shared" si="5"/>
        <v>0</v>
      </c>
      <c r="X63" s="329"/>
      <c r="Y63" s="329"/>
      <c r="Z63" s="329"/>
      <c r="AA63" s="330"/>
      <c r="AB63" s="291"/>
      <c r="AC63" s="291"/>
      <c r="AD63" s="291"/>
      <c r="AE63" s="291"/>
      <c r="AF63" s="291"/>
      <c r="AG63" s="291"/>
      <c r="AH63" s="125"/>
      <c r="AI63" s="47"/>
      <c r="AJ63" s="47"/>
      <c r="AK63" s="47"/>
      <c r="AL63" s="47"/>
      <c r="AM63" s="47"/>
      <c r="AN63" s="47"/>
      <c r="AO63" s="47"/>
    </row>
    <row r="64" spans="1:43" s="100" customFormat="1" ht="15" customHeight="1" thickBot="1">
      <c r="A64" s="47"/>
      <c r="B64" s="250"/>
      <c r="C64" s="251"/>
      <c r="D64" s="252"/>
      <c r="E64" s="187">
        <v>3</v>
      </c>
      <c r="F64" s="209"/>
      <c r="G64" s="210" t="str">
        <f t="shared" si="6"/>
        <v>暖房</v>
      </c>
      <c r="H64" s="211"/>
      <c r="I64" s="211"/>
      <c r="J64" s="354">
        <f t="shared" si="3"/>
        <v>0</v>
      </c>
      <c r="K64" s="355"/>
      <c r="L64" s="355"/>
      <c r="M64" s="355"/>
      <c r="N64" s="355"/>
      <c r="O64" s="355"/>
      <c r="P64" s="355"/>
      <c r="Q64" s="355"/>
      <c r="R64" s="355"/>
      <c r="S64" s="356"/>
      <c r="T64" s="292">
        <f t="shared" si="4"/>
        <v>300</v>
      </c>
      <c r="U64" s="293"/>
      <c r="V64" s="293"/>
      <c r="W64" s="334">
        <f t="shared" si="5"/>
        <v>0</v>
      </c>
      <c r="X64" s="335"/>
      <c r="Y64" s="335"/>
      <c r="Z64" s="335"/>
      <c r="AA64" s="336"/>
      <c r="AB64" s="291"/>
      <c r="AC64" s="291"/>
      <c r="AD64" s="291"/>
      <c r="AE64" s="291"/>
      <c r="AF64" s="291"/>
      <c r="AG64" s="291"/>
      <c r="AH64" s="125"/>
      <c r="AI64" s="47"/>
      <c r="AJ64" s="47"/>
      <c r="AK64" s="47"/>
      <c r="AL64" s="47"/>
      <c r="AM64" s="47"/>
      <c r="AN64" s="47"/>
      <c r="AO64" s="47"/>
    </row>
    <row r="65" spans="1:41" s="100" customFormat="1" ht="15" customHeight="1" thickTop="1">
      <c r="A65" s="47"/>
      <c r="B65" s="253"/>
      <c r="C65" s="254"/>
      <c r="D65" s="255"/>
      <c r="E65" s="277" t="s">
        <v>58</v>
      </c>
      <c r="F65" s="278"/>
      <c r="G65" s="337" t="s">
        <v>90</v>
      </c>
      <c r="H65" s="338"/>
      <c r="I65" s="339"/>
      <c r="J65" s="360" t="s">
        <v>90</v>
      </c>
      <c r="K65" s="361"/>
      <c r="L65" s="361"/>
      <c r="M65" s="361"/>
      <c r="N65" s="361"/>
      <c r="O65" s="361"/>
      <c r="P65" s="361"/>
      <c r="Q65" s="361"/>
      <c r="R65" s="361"/>
      <c r="S65" s="362"/>
      <c r="T65" s="344">
        <f>SUM(T53:V64)</f>
        <v>3600</v>
      </c>
      <c r="U65" s="345"/>
      <c r="V65" s="346"/>
      <c r="W65" s="358">
        <f>SUM(W53:AA64)</f>
        <v>38340</v>
      </c>
      <c r="X65" s="359"/>
      <c r="Y65" s="359"/>
      <c r="Z65" s="359"/>
      <c r="AA65" s="359"/>
      <c r="AB65" s="290"/>
      <c r="AC65" s="291"/>
      <c r="AD65" s="291"/>
      <c r="AE65" s="291"/>
      <c r="AF65" s="291"/>
      <c r="AG65" s="291"/>
      <c r="AH65" s="129"/>
      <c r="AI65" s="47"/>
      <c r="AJ65" s="47"/>
      <c r="AK65" s="47"/>
      <c r="AL65" s="47"/>
      <c r="AM65" s="47"/>
      <c r="AN65" s="47"/>
      <c r="AO65" s="47"/>
    </row>
    <row r="66" spans="1:41" s="100" customFormat="1" ht="15" customHeight="1">
      <c r="A66" s="47"/>
      <c r="C66" s="99"/>
      <c r="D66" s="99"/>
      <c r="E66" s="99"/>
      <c r="F66" s="99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47"/>
      <c r="AC66" s="47"/>
      <c r="AD66" s="47"/>
      <c r="AE66" s="47"/>
      <c r="AF66" s="47"/>
      <c r="AG66" s="47"/>
      <c r="AH66" s="115"/>
      <c r="AI66" s="47"/>
      <c r="AJ66" s="47"/>
      <c r="AK66" s="47"/>
      <c r="AL66" s="47"/>
      <c r="AM66" s="47"/>
      <c r="AN66" s="47"/>
      <c r="AO66" s="47"/>
    </row>
    <row r="67" spans="1:41" s="100" customFormat="1" ht="13.5" customHeight="1">
      <c r="A67" s="47"/>
      <c r="B67" s="47"/>
      <c r="C67" s="47"/>
      <c r="D67" s="47"/>
      <c r="E67" s="47"/>
      <c r="F67" s="47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</row>
    <row r="68" spans="1:41" s="100" customFormat="1" ht="1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</row>
    <row r="71" spans="1:41" s="100" customFormat="1" ht="1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</row>
    <row r="72" spans="1:41" s="100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</row>
    <row r="73" spans="1:41" s="100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</row>
    <row r="74" spans="1:41" s="100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</row>
    <row r="75" spans="1:41" s="100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</row>
    <row r="76" spans="1:41" s="100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</row>
    <row r="77" spans="1:41" s="100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</row>
    <row r="78" spans="1:41" s="100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</row>
    <row r="79" spans="1:41" s="100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</row>
    <row r="80" spans="1:41" s="100" customFormat="1" ht="1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</row>
    <row r="81" spans="1:41" s="100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</row>
    <row r="82" spans="1:41" s="100" customFormat="1" ht="12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</row>
    <row r="83" spans="1:41" s="100" customFormat="1" ht="12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</row>
    <row r="98" s="47" customFormat="1" ht="13.5" customHeight="1"/>
    <row r="113" s="47" customFormat="1" ht="13.5" customHeight="1"/>
    <row r="133" s="47" customFormat="1" ht="13.5" customHeight="1"/>
    <row r="135" s="47" customFormat="1" ht="13.5" customHeight="1"/>
  </sheetData>
  <sheetProtection algorithmName="SHA-512" hashValue="CsehzHogBAb3vk9LegRH2podzz+bE/GtnrzZA7anExo/j2+IlVd3DX0YtWpxIqMkzlLdpbpWM0ZaC/mUjBLLcw==" saltValue="ZNBDXc1IFGFWD4qia6ib9g==" spinCount="100000" sheet="1" objects="1" scenarios="1" selectLockedCells="1"/>
  <mergeCells count="262">
    <mergeCell ref="AB63:AG63"/>
    <mergeCell ref="AB64:AG64"/>
    <mergeCell ref="AB65:AG65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4:AG54"/>
    <mergeCell ref="AB55:AG55"/>
    <mergeCell ref="AB56:AG56"/>
    <mergeCell ref="AB57:AG57"/>
    <mergeCell ref="AB58:AG58"/>
    <mergeCell ref="AB59:AG59"/>
    <mergeCell ref="AB60:AG60"/>
    <mergeCell ref="AB61:AG61"/>
    <mergeCell ref="AB62:AG62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1:V61"/>
    <mergeCell ref="W61:AA61"/>
    <mergeCell ref="E60:F60"/>
    <mergeCell ref="G60:I60"/>
    <mergeCell ref="J60:S60"/>
    <mergeCell ref="T60:V60"/>
    <mergeCell ref="W60:AA60"/>
    <mergeCell ref="I27:R27"/>
    <mergeCell ref="E29:H29"/>
    <mergeCell ref="I29:O29"/>
    <mergeCell ref="E65:F65"/>
    <mergeCell ref="G65:I65"/>
    <mergeCell ref="J65:S65"/>
    <mergeCell ref="G42:I42"/>
    <mergeCell ref="J42:L42"/>
    <mergeCell ref="M42:P42"/>
    <mergeCell ref="Q42:S42"/>
    <mergeCell ref="E36:F36"/>
    <mergeCell ref="E38:F38"/>
    <mergeCell ref="G36:I36"/>
    <mergeCell ref="T65:V65"/>
    <mergeCell ref="W65:AA65"/>
    <mergeCell ref="B51:D65"/>
    <mergeCell ref="E64:F64"/>
    <mergeCell ref="G64:I64"/>
    <mergeCell ref="J64:S64"/>
    <mergeCell ref="T64:V64"/>
    <mergeCell ref="W64:AA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E59:F59"/>
    <mergeCell ref="G59:I59"/>
    <mergeCell ref="J59:S59"/>
    <mergeCell ref="T59:V59"/>
    <mergeCell ref="W59:AA59"/>
    <mergeCell ref="E58:F58"/>
    <mergeCell ref="G58:I58"/>
    <mergeCell ref="J58:S58"/>
    <mergeCell ref="T58:V58"/>
    <mergeCell ref="W58:AA58"/>
    <mergeCell ref="E55:F55"/>
    <mergeCell ref="G55:I55"/>
    <mergeCell ref="J55:S55"/>
    <mergeCell ref="T55:V55"/>
    <mergeCell ref="E57:F57"/>
    <mergeCell ref="G57:I57"/>
    <mergeCell ref="J57:S57"/>
    <mergeCell ref="T57:V57"/>
    <mergeCell ref="W57:AA57"/>
    <mergeCell ref="W55:AA55"/>
    <mergeCell ref="E56:F56"/>
    <mergeCell ref="G56:I56"/>
    <mergeCell ref="J56:S56"/>
    <mergeCell ref="T56:V56"/>
    <mergeCell ref="W56:AA56"/>
    <mergeCell ref="T53:V53"/>
    <mergeCell ref="W53:AA53"/>
    <mergeCell ref="E51:F52"/>
    <mergeCell ref="G51:I52"/>
    <mergeCell ref="J51:S51"/>
    <mergeCell ref="T51:V51"/>
    <mergeCell ref="W51:AA51"/>
    <mergeCell ref="E54:F54"/>
    <mergeCell ref="G54:I54"/>
    <mergeCell ref="J54:S54"/>
    <mergeCell ref="T54:V54"/>
    <mergeCell ref="W54:AA54"/>
    <mergeCell ref="AB51:AG51"/>
    <mergeCell ref="AB44:AG44"/>
    <mergeCell ref="AB52:AG52"/>
    <mergeCell ref="AB53:AG53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2:S52"/>
    <mergeCell ref="T52:V52"/>
    <mergeCell ref="W52:AA52"/>
    <mergeCell ref="E53:F53"/>
    <mergeCell ref="G53:I53"/>
    <mergeCell ref="J53:S53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  <mergeCell ref="B19:H19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1:AA65">
    <cfRule type="expression" dxfId="0" priority="1">
      <formula>$I$26="非該当"</formula>
    </cfRule>
  </conditionalFormatting>
  <dataValidations count="2">
    <dataValidation type="list" allowBlank="1" showInputMessage="1" showErrorMessage="1" sqref="I27:R27" xr:uid="{00000000-0002-0000-0100-000000000000}">
      <formula1>"有り,無し（一定速）"</formula1>
    </dataValidation>
    <dataValidation type="list" allowBlank="1" showInputMessage="1" showErrorMessage="1" sqref="G35:G46 H36:I46 G53:G64 H54:I64 P36:P46" xr:uid="{00000000-0002-0000-0100-000001000000}">
      <formula1>"冷房,暖房"</formula1>
    </dataValidation>
  </dataValidations>
  <printOptions horizontalCentered="1"/>
  <pageMargins left="0.23622047244094491" right="0.23622047244094491" top="0.74803149606299213" bottom="0.59055118110236227" header="0.31496062992125984" footer="0.31496062992125984"/>
  <pageSetup paperSize="9" scale="68" fitToHeight="0" orientation="portrait" cellComments="asDisplayed" r:id="rId1"/>
  <ignoredErrors>
    <ignoredError sqref="G36:I46 G35 I22 M36:P46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'&lt;吸収式&gt;マスタ'!$U$77:$U$78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view="pageBreakPreview" zoomScale="70" zoomScaleNormal="85" zoomScaleSheetLayoutView="70" workbookViewId="0"/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151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166</v>
      </c>
      <c r="F6" s="30" t="s">
        <v>154</v>
      </c>
      <c r="G6" s="30" t="s">
        <v>69</v>
      </c>
      <c r="H6" s="30" t="s">
        <v>75</v>
      </c>
      <c r="I6" s="30" t="s">
        <v>153</v>
      </c>
      <c r="J6" s="30" t="s">
        <v>75</v>
      </c>
      <c r="K6" s="30" t="s">
        <v>96</v>
      </c>
      <c r="L6" s="30" t="s">
        <v>98</v>
      </c>
      <c r="M6" s="30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65" t="s">
        <v>41</v>
      </c>
      <c r="AK6" s="370" t="s">
        <v>45</v>
      </c>
      <c r="AL6" s="371" t="s">
        <v>49</v>
      </c>
      <c r="AM6" s="367" t="s">
        <v>42</v>
      </c>
      <c r="AN6" s="368"/>
      <c r="AO6" s="369"/>
      <c r="AP6" s="373" t="s">
        <v>83</v>
      </c>
    </row>
    <row r="7" spans="2:42">
      <c r="B7" s="2" t="s">
        <v>5</v>
      </c>
      <c r="C7" s="31"/>
      <c r="D7" s="28" t="s">
        <v>145</v>
      </c>
      <c r="F7" s="28" t="s">
        <v>55</v>
      </c>
      <c r="G7" s="24">
        <v>10750</v>
      </c>
      <c r="H7" s="28" t="s">
        <v>126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148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5" t="s">
        <v>159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124</v>
      </c>
      <c r="AI7" s="8" t="s">
        <v>16</v>
      </c>
      <c r="AJ7" s="366"/>
      <c r="AK7" s="366"/>
      <c r="AL7" s="372"/>
      <c r="AM7" s="10" t="s">
        <v>43</v>
      </c>
      <c r="AN7" s="10" t="s">
        <v>44</v>
      </c>
      <c r="AO7" s="14" t="s">
        <v>83</v>
      </c>
      <c r="AP7" s="373"/>
    </row>
    <row r="8" spans="2:42">
      <c r="B8" s="31" t="s">
        <v>206</v>
      </c>
      <c r="D8" s="28" t="s">
        <v>107</v>
      </c>
      <c r="F8" s="28" t="s">
        <v>70</v>
      </c>
      <c r="G8" s="24">
        <v>23889</v>
      </c>
      <c r="H8" s="28" t="s">
        <v>126</v>
      </c>
      <c r="I8" s="29" t="s">
        <v>155</v>
      </c>
      <c r="J8" s="29" t="s">
        <v>85</v>
      </c>
      <c r="K8" s="29" t="s">
        <v>116</v>
      </c>
      <c r="L8" s="29"/>
      <c r="M8" s="29"/>
      <c r="O8" s="28" t="s">
        <v>148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204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143</v>
      </c>
      <c r="F9" s="28" t="s">
        <v>71</v>
      </c>
      <c r="G9" s="24">
        <v>15050</v>
      </c>
      <c r="H9" s="28" t="s">
        <v>126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148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37">
        <v>0.58899999999999997</v>
      </c>
      <c r="AC9" s="33" t="s">
        <v>204</v>
      </c>
      <c r="AE9" s="2">
        <v>1</v>
      </c>
      <c r="AF9" s="2" t="s">
        <v>6</v>
      </c>
      <c r="AG9" s="26" t="s">
        <v>47</v>
      </c>
      <c r="AH9" s="2" t="s">
        <v>125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142</v>
      </c>
      <c r="F10" s="28" t="s">
        <v>72</v>
      </c>
      <c r="G10" s="24">
        <v>5017</v>
      </c>
      <c r="H10" s="28" t="s">
        <v>126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150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204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168</v>
      </c>
      <c r="G11" s="24" t="s">
        <v>79</v>
      </c>
      <c r="H11" s="28" t="s">
        <v>126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150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37">
        <v>0.57399999999999995</v>
      </c>
      <c r="AC11" s="33" t="s">
        <v>204</v>
      </c>
      <c r="AE11" s="2">
        <v>1</v>
      </c>
      <c r="AF11" s="2" t="s">
        <v>7</v>
      </c>
      <c r="AG11" s="26" t="s">
        <v>47</v>
      </c>
      <c r="AH11" s="2" t="s">
        <v>125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0" t="s">
        <v>146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141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37">
        <v>0.27300000000000002</v>
      </c>
      <c r="AC12" s="33" t="s">
        <v>204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1" t="s">
        <v>147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149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204</v>
      </c>
      <c r="AE13" s="2">
        <v>1</v>
      </c>
      <c r="AF13" s="2" t="s">
        <v>6</v>
      </c>
      <c r="AG13" s="15" t="s">
        <v>0</v>
      </c>
      <c r="AH13" s="2" t="s">
        <v>125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1" t="s">
        <v>106</v>
      </c>
      <c r="F14" s="29" t="s">
        <v>88</v>
      </c>
      <c r="G14" s="28"/>
      <c r="H14" s="28"/>
      <c r="I14" s="29" t="s">
        <v>152</v>
      </c>
      <c r="J14" s="29" t="s">
        <v>87</v>
      </c>
      <c r="K14" s="29" t="s">
        <v>97</v>
      </c>
      <c r="L14" s="29"/>
      <c r="M14" s="29"/>
      <c r="N14" s="4"/>
      <c r="O14" s="28" t="s">
        <v>149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204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149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204</v>
      </c>
      <c r="AE15" s="2">
        <v>1</v>
      </c>
      <c r="AF15" s="2" t="s">
        <v>7</v>
      </c>
      <c r="AG15" s="15" t="s">
        <v>0</v>
      </c>
      <c r="AH15" s="2" t="s">
        <v>125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142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205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163</v>
      </c>
      <c r="G17" s="9"/>
      <c r="H17" s="9"/>
      <c r="O17" s="28" t="s">
        <v>142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37">
        <v>0.104</v>
      </c>
      <c r="AB17" s="33">
        <v>0</v>
      </c>
      <c r="AC17" s="33" t="s">
        <v>205</v>
      </c>
      <c r="AE17" s="1">
        <v>2</v>
      </c>
      <c r="AF17" s="2" t="s">
        <v>6</v>
      </c>
      <c r="AG17" s="26" t="s">
        <v>47</v>
      </c>
      <c r="AH17" s="2" t="s">
        <v>125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142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37">
        <v>0.435</v>
      </c>
      <c r="AB18" s="33">
        <v>0</v>
      </c>
      <c r="AC18" s="33" t="s">
        <v>205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37">
        <v>0.40200000000000002</v>
      </c>
      <c r="AB19" s="33">
        <v>0</v>
      </c>
      <c r="AC19" s="33" t="s">
        <v>205</v>
      </c>
      <c r="AE19" s="1">
        <v>2</v>
      </c>
      <c r="AF19" s="2" t="s">
        <v>7</v>
      </c>
      <c r="AG19" s="26" t="s">
        <v>47</v>
      </c>
      <c r="AH19" s="2" t="s">
        <v>125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8" t="s">
        <v>165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205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39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37">
        <v>0.68600000000000005</v>
      </c>
      <c r="AB21" s="33">
        <v>0</v>
      </c>
      <c r="AC21" s="33" t="s">
        <v>205</v>
      </c>
      <c r="AE21" s="1">
        <v>2</v>
      </c>
      <c r="AF21" s="2" t="s">
        <v>6</v>
      </c>
      <c r="AG21" s="15" t="s">
        <v>0</v>
      </c>
      <c r="AH21" s="2" t="s">
        <v>125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37">
        <v>0.69299999999999995</v>
      </c>
      <c r="AB22" s="33">
        <v>0</v>
      </c>
      <c r="AC22" s="33" t="s">
        <v>205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164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205</v>
      </c>
      <c r="AE23" s="1">
        <v>2</v>
      </c>
      <c r="AF23" s="2" t="s">
        <v>7</v>
      </c>
      <c r="AG23" s="15" t="s">
        <v>0</v>
      </c>
      <c r="AH23" s="2" t="s">
        <v>125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205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148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37">
        <v>0.50600000000000001</v>
      </c>
      <c r="AB25" s="33">
        <v>0</v>
      </c>
      <c r="AC25" s="33" t="s">
        <v>205</v>
      </c>
      <c r="AE25" s="1">
        <v>3</v>
      </c>
      <c r="AF25" s="2" t="s">
        <v>6</v>
      </c>
      <c r="AG25" s="26" t="s">
        <v>1</v>
      </c>
      <c r="AH25" s="2" t="s">
        <v>125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148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37">
        <v>0.36399999999999999</v>
      </c>
      <c r="AB26" s="33">
        <v>0</v>
      </c>
      <c r="AC26" s="33" t="s">
        <v>205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3" t="s">
        <v>178</v>
      </c>
      <c r="G27" s="43" t="s">
        <v>179</v>
      </c>
      <c r="H27" s="43" t="s">
        <v>240</v>
      </c>
      <c r="I27" s="29" t="s">
        <v>75</v>
      </c>
      <c r="O27" s="28" t="s">
        <v>148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37">
        <v>6.0999999999999999E-2</v>
      </c>
      <c r="AB27" s="33">
        <v>0</v>
      </c>
      <c r="AC27" s="33" t="s">
        <v>205</v>
      </c>
      <c r="AE27" s="1">
        <v>3</v>
      </c>
      <c r="AF27" s="2" t="s">
        <v>7</v>
      </c>
      <c r="AG27" s="26" t="s">
        <v>1</v>
      </c>
      <c r="AH27" s="2" t="s">
        <v>125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3" t="s">
        <v>55</v>
      </c>
      <c r="G28" s="43">
        <v>45</v>
      </c>
      <c r="H28" s="43">
        <v>1</v>
      </c>
      <c r="I28" s="43" t="s">
        <v>241</v>
      </c>
      <c r="O28" s="28" t="s">
        <v>141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37">
        <v>0.154</v>
      </c>
      <c r="AC28" s="33" t="s">
        <v>204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3" t="s">
        <v>70</v>
      </c>
      <c r="G29" s="43">
        <v>100</v>
      </c>
      <c r="H29" s="43">
        <v>1.99</v>
      </c>
      <c r="I29" s="43" t="s">
        <v>242</v>
      </c>
      <c r="O29" s="28" t="s">
        <v>141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204</v>
      </c>
      <c r="AE29" s="1">
        <v>3</v>
      </c>
      <c r="AF29" s="2" t="s">
        <v>6</v>
      </c>
      <c r="AG29" s="15" t="s">
        <v>0</v>
      </c>
      <c r="AH29" s="2" t="s">
        <v>125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3" t="s">
        <v>72</v>
      </c>
      <c r="G30" s="43">
        <v>21</v>
      </c>
      <c r="H30" s="43">
        <v>1</v>
      </c>
      <c r="I30" s="43" t="s">
        <v>243</v>
      </c>
      <c r="O30" s="28" t="s">
        <v>141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204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3" t="s">
        <v>168</v>
      </c>
      <c r="G31" s="24" t="s">
        <v>244</v>
      </c>
      <c r="H31" s="43">
        <v>1</v>
      </c>
      <c r="I31" s="43" t="s">
        <v>243</v>
      </c>
      <c r="O31" s="28" t="s">
        <v>149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204</v>
      </c>
      <c r="AE31" s="1">
        <v>3</v>
      </c>
      <c r="AF31" s="2" t="s">
        <v>7</v>
      </c>
      <c r="AG31" s="15" t="s">
        <v>0</v>
      </c>
      <c r="AH31" s="2" t="s">
        <v>125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3"/>
      <c r="G32" s="43"/>
      <c r="O32" s="28" t="s">
        <v>149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206</v>
      </c>
      <c r="Z32" s="29" t="s">
        <v>207</v>
      </c>
      <c r="AA32" s="43" t="s">
        <v>219</v>
      </c>
      <c r="AB32" s="43" t="s">
        <v>219</v>
      </c>
      <c r="AC32" s="43" t="s">
        <v>219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149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206</v>
      </c>
      <c r="Z33" s="29" t="s">
        <v>208</v>
      </c>
      <c r="AA33" s="13" t="s">
        <v>219</v>
      </c>
      <c r="AB33" s="13" t="s">
        <v>219</v>
      </c>
      <c r="AC33" s="13" t="s">
        <v>219</v>
      </c>
      <c r="AE33" s="1">
        <v>4</v>
      </c>
      <c r="AF33" s="2" t="s">
        <v>6</v>
      </c>
      <c r="AG33" s="26" t="s">
        <v>1</v>
      </c>
      <c r="AH33" s="2" t="s">
        <v>125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142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206</v>
      </c>
      <c r="Z34" s="29" t="s">
        <v>209</v>
      </c>
      <c r="AA34" s="13" t="s">
        <v>219</v>
      </c>
      <c r="AB34" s="13" t="s">
        <v>219</v>
      </c>
      <c r="AC34" s="13" t="s">
        <v>219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142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206</v>
      </c>
      <c r="Z35" s="29" t="s">
        <v>210</v>
      </c>
      <c r="AA35" s="13" t="s">
        <v>219</v>
      </c>
      <c r="AB35" s="13" t="s">
        <v>219</v>
      </c>
      <c r="AC35" s="13" t="s">
        <v>219</v>
      </c>
      <c r="AE35" s="1">
        <v>4</v>
      </c>
      <c r="AF35" s="2" t="s">
        <v>7</v>
      </c>
      <c r="AG35" s="26" t="s">
        <v>1</v>
      </c>
      <c r="AH35" s="2" t="s">
        <v>125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142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206</v>
      </c>
      <c r="Z36" s="29" t="s">
        <v>211</v>
      </c>
      <c r="AA36" s="13" t="s">
        <v>219</v>
      </c>
      <c r="AB36" s="13" t="s">
        <v>219</v>
      </c>
      <c r="AC36" s="13" t="s">
        <v>219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206</v>
      </c>
      <c r="Z37" s="29" t="s">
        <v>212</v>
      </c>
      <c r="AA37" s="13" t="s">
        <v>219</v>
      </c>
      <c r="AB37" s="13" t="s">
        <v>219</v>
      </c>
      <c r="AC37" s="13" t="s">
        <v>219</v>
      </c>
      <c r="AE37" s="1">
        <v>4</v>
      </c>
      <c r="AF37" s="2" t="s">
        <v>6</v>
      </c>
      <c r="AG37" s="15" t="s">
        <v>0</v>
      </c>
      <c r="AH37" s="2" t="s">
        <v>125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206</v>
      </c>
      <c r="Z38" s="29" t="s">
        <v>213</v>
      </c>
      <c r="AA38" s="13" t="s">
        <v>219</v>
      </c>
      <c r="AB38" s="13" t="s">
        <v>219</v>
      </c>
      <c r="AC38" s="13" t="s">
        <v>219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206</v>
      </c>
      <c r="Z39" s="29" t="s">
        <v>214</v>
      </c>
      <c r="AA39" s="13" t="s">
        <v>219</v>
      </c>
      <c r="AB39" s="13" t="s">
        <v>219</v>
      </c>
      <c r="AC39" s="13" t="s">
        <v>219</v>
      </c>
      <c r="AE39" s="1">
        <v>4</v>
      </c>
      <c r="AF39" s="2" t="s">
        <v>7</v>
      </c>
      <c r="AG39" s="15" t="s">
        <v>0</v>
      </c>
      <c r="AH39" s="2" t="s">
        <v>125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206</v>
      </c>
      <c r="Z40" s="29" t="s">
        <v>215</v>
      </c>
      <c r="AA40" s="13" t="s">
        <v>219</v>
      </c>
      <c r="AB40" s="13" t="s">
        <v>219</v>
      </c>
      <c r="AC40" s="13" t="s">
        <v>219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206</v>
      </c>
      <c r="Z41" s="29" t="s">
        <v>216</v>
      </c>
      <c r="AA41" s="13" t="s">
        <v>219</v>
      </c>
      <c r="AB41" s="13" t="s">
        <v>219</v>
      </c>
      <c r="AC41" s="13" t="s">
        <v>219</v>
      </c>
      <c r="AE41" s="1">
        <v>5</v>
      </c>
      <c r="AF41" s="2" t="s">
        <v>6</v>
      </c>
      <c r="AG41" s="26" t="s">
        <v>1</v>
      </c>
      <c r="AH41" s="2" t="s">
        <v>125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206</v>
      </c>
      <c r="Z42" s="29" t="s">
        <v>217</v>
      </c>
      <c r="AA42" s="13" t="s">
        <v>219</v>
      </c>
      <c r="AB42" s="13" t="s">
        <v>219</v>
      </c>
      <c r="AC42" s="13" t="s">
        <v>219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206</v>
      </c>
      <c r="Z43" s="29" t="s">
        <v>218</v>
      </c>
      <c r="AA43" s="13" t="s">
        <v>219</v>
      </c>
      <c r="AB43" s="13" t="s">
        <v>219</v>
      </c>
      <c r="AC43" s="13" t="s">
        <v>219</v>
      </c>
      <c r="AE43" s="1">
        <v>5</v>
      </c>
      <c r="AF43" s="2" t="s">
        <v>7</v>
      </c>
      <c r="AG43" s="26" t="s">
        <v>1</v>
      </c>
      <c r="AH43" s="2" t="s">
        <v>125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6"/>
      <c r="AB44" s="36"/>
      <c r="AC44" s="36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6"/>
      <c r="AB45" s="36"/>
      <c r="AC45" s="36"/>
      <c r="AE45" s="1">
        <v>5</v>
      </c>
      <c r="AF45" s="2" t="s">
        <v>6</v>
      </c>
      <c r="AG45" s="15" t="s">
        <v>0</v>
      </c>
      <c r="AH45" s="2" t="s">
        <v>125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6"/>
      <c r="AB46" s="36"/>
      <c r="AC46" s="36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6"/>
      <c r="AB47" s="36"/>
      <c r="AC47" s="36"/>
      <c r="AE47" s="1">
        <v>5</v>
      </c>
      <c r="AF47" s="2" t="s">
        <v>7</v>
      </c>
      <c r="AG47" s="15" t="s">
        <v>0</v>
      </c>
      <c r="AH47" s="2" t="s">
        <v>125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6"/>
      <c r="AB48" s="36"/>
      <c r="AC48" s="36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6"/>
      <c r="AB49" s="36"/>
      <c r="AC49" s="36"/>
      <c r="AE49" s="1">
        <v>6</v>
      </c>
      <c r="AF49" s="2" t="s">
        <v>6</v>
      </c>
      <c r="AG49" s="26" t="s">
        <v>1</v>
      </c>
      <c r="AH49" s="2" t="s">
        <v>125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6"/>
      <c r="AB50" s="36"/>
      <c r="AC50" s="36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6"/>
      <c r="AB51" s="36"/>
      <c r="AC51" s="36"/>
      <c r="AE51" s="1">
        <v>6</v>
      </c>
      <c r="AF51" s="2" t="s">
        <v>7</v>
      </c>
      <c r="AG51" s="26" t="s">
        <v>1</v>
      </c>
      <c r="AH51" s="2" t="s">
        <v>125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6"/>
      <c r="AB52" s="36"/>
      <c r="AC52" s="36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6"/>
      <c r="AB53" s="36"/>
      <c r="AC53" s="36"/>
      <c r="AE53" s="1">
        <v>6</v>
      </c>
      <c r="AF53" s="2" t="s">
        <v>6</v>
      </c>
      <c r="AG53" s="15" t="s">
        <v>0</v>
      </c>
      <c r="AH53" s="2" t="s">
        <v>125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6"/>
      <c r="AB54" s="36"/>
      <c r="AC54" s="36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6"/>
      <c r="AB55" s="36"/>
      <c r="AC55" s="36"/>
      <c r="AE55" s="1">
        <v>6</v>
      </c>
      <c r="AF55" s="2" t="s">
        <v>7</v>
      </c>
      <c r="AG55" s="15" t="s">
        <v>0</v>
      </c>
      <c r="AH55" s="2" t="s">
        <v>125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6"/>
      <c r="AB56" s="36"/>
      <c r="AC56" s="36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6"/>
      <c r="AB57" s="36"/>
      <c r="AC57" s="36"/>
      <c r="AE57" s="2">
        <v>7</v>
      </c>
      <c r="AF57" s="2" t="s">
        <v>6</v>
      </c>
      <c r="AG57" s="26" t="s">
        <v>1</v>
      </c>
      <c r="AH57" s="2" t="s">
        <v>125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6"/>
      <c r="AB58" s="36"/>
      <c r="AC58" s="36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6"/>
      <c r="AB59" s="36"/>
      <c r="AC59" s="36"/>
      <c r="AE59" s="2">
        <v>7</v>
      </c>
      <c r="AF59" s="2" t="s">
        <v>7</v>
      </c>
      <c r="AG59" s="26" t="s">
        <v>1</v>
      </c>
      <c r="AH59" s="2" t="s">
        <v>125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6"/>
      <c r="AB60" s="36"/>
      <c r="AC60" s="36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6"/>
      <c r="AB61" s="36"/>
      <c r="AC61" s="36"/>
      <c r="AE61" s="2">
        <v>7</v>
      </c>
      <c r="AF61" s="2" t="s">
        <v>6</v>
      </c>
      <c r="AG61" s="15" t="s">
        <v>0</v>
      </c>
      <c r="AH61" s="2" t="s">
        <v>125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6"/>
      <c r="AB62" s="36"/>
      <c r="AC62" s="36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6"/>
      <c r="AB63" s="36"/>
      <c r="AC63" s="36"/>
      <c r="AE63" s="2">
        <v>7</v>
      </c>
      <c r="AF63" s="2" t="s">
        <v>7</v>
      </c>
      <c r="AG63" s="15" t="s">
        <v>0</v>
      </c>
      <c r="AH63" s="2" t="s">
        <v>125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125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125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125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125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125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42" t="s">
        <v>167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125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2" t="s">
        <v>236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2" t="s">
        <v>238</v>
      </c>
      <c r="V77" s="21">
        <v>2010</v>
      </c>
      <c r="AE77" s="2">
        <v>9</v>
      </c>
      <c r="AF77" s="2" t="s">
        <v>6</v>
      </c>
      <c r="AG77" s="15" t="s">
        <v>0</v>
      </c>
      <c r="AH77" s="2" t="s">
        <v>125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2" t="s">
        <v>245</v>
      </c>
      <c r="V78" s="21">
        <v>2010</v>
      </c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7</v>
      </c>
      <c r="AG79" s="15" t="s">
        <v>0</v>
      </c>
      <c r="AH79" s="2" t="s">
        <v>125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125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125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125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125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125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125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125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125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125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125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125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125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43" t="s">
        <v>220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43" t="s">
        <v>220</v>
      </c>
      <c r="AG105" s="26" t="s">
        <v>1</v>
      </c>
      <c r="AH105" s="29" t="s">
        <v>125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43" t="s">
        <v>220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43" t="s">
        <v>220</v>
      </c>
      <c r="AG107" s="26" t="s">
        <v>0</v>
      </c>
      <c r="AH107" s="29" t="s">
        <v>125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43">
        <v>2</v>
      </c>
      <c r="AF108" s="43" t="s">
        <v>220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43">
        <v>2</v>
      </c>
      <c r="AF109" s="43" t="s">
        <v>220</v>
      </c>
      <c r="AG109" s="26" t="s">
        <v>1</v>
      </c>
      <c r="AH109" s="29" t="s">
        <v>125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43">
        <v>2</v>
      </c>
      <c r="AF110" s="43" t="s">
        <v>220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43">
        <v>2</v>
      </c>
      <c r="AF111" s="43" t="s">
        <v>220</v>
      </c>
      <c r="AG111" s="26" t="s">
        <v>0</v>
      </c>
      <c r="AH111" s="29" t="s">
        <v>125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43">
        <v>3</v>
      </c>
      <c r="AF112" s="43" t="s">
        <v>220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43">
        <v>3</v>
      </c>
      <c r="AF113" s="43" t="s">
        <v>220</v>
      </c>
      <c r="AG113" s="26" t="s">
        <v>1</v>
      </c>
      <c r="AH113" s="29" t="s">
        <v>125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43">
        <v>3</v>
      </c>
      <c r="AF114" s="43" t="s">
        <v>220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43">
        <v>3</v>
      </c>
      <c r="AF115" s="43" t="s">
        <v>220</v>
      </c>
      <c r="AG115" s="26" t="s">
        <v>0</v>
      </c>
      <c r="AH115" s="29" t="s">
        <v>125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43">
        <v>4</v>
      </c>
      <c r="AF116" s="43" t="s">
        <v>220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43">
        <v>4</v>
      </c>
      <c r="AF117" s="43" t="s">
        <v>220</v>
      </c>
      <c r="AG117" s="26" t="s">
        <v>1</v>
      </c>
      <c r="AH117" s="29" t="s">
        <v>125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43">
        <v>4</v>
      </c>
      <c r="AF118" s="43" t="s">
        <v>220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43">
        <v>4</v>
      </c>
      <c r="AF119" s="43" t="s">
        <v>220</v>
      </c>
      <c r="AG119" s="26" t="s">
        <v>0</v>
      </c>
      <c r="AH119" s="29" t="s">
        <v>125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43">
        <v>5</v>
      </c>
      <c r="AF120" s="43" t="s">
        <v>220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43">
        <v>5</v>
      </c>
      <c r="AF121" s="43" t="s">
        <v>220</v>
      </c>
      <c r="AG121" s="26" t="s">
        <v>1</v>
      </c>
      <c r="AH121" s="29" t="s">
        <v>125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43">
        <v>5</v>
      </c>
      <c r="AF122" s="43" t="s">
        <v>220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43">
        <v>5</v>
      </c>
      <c r="AF123" s="43" t="s">
        <v>220</v>
      </c>
      <c r="AG123" s="26" t="s">
        <v>0</v>
      </c>
      <c r="AH123" s="29" t="s">
        <v>125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43">
        <v>6</v>
      </c>
      <c r="AF124" s="43" t="s">
        <v>220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43">
        <v>6</v>
      </c>
      <c r="AF125" s="43" t="s">
        <v>220</v>
      </c>
      <c r="AG125" s="26" t="s">
        <v>1</v>
      </c>
      <c r="AH125" s="29" t="s">
        <v>125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43">
        <v>6</v>
      </c>
      <c r="AF126" s="43" t="s">
        <v>220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43">
        <v>6</v>
      </c>
      <c r="AF127" s="43" t="s">
        <v>220</v>
      </c>
      <c r="AG127" s="26" t="s">
        <v>0</v>
      </c>
      <c r="AH127" s="29" t="s">
        <v>125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43">
        <v>7</v>
      </c>
      <c r="AF128" s="43" t="s">
        <v>220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43">
        <v>7</v>
      </c>
      <c r="AF129" s="43" t="s">
        <v>220</v>
      </c>
      <c r="AG129" s="26" t="s">
        <v>1</v>
      </c>
      <c r="AH129" s="29" t="s">
        <v>125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43">
        <v>7</v>
      </c>
      <c r="AF130" s="43" t="s">
        <v>220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43">
        <v>7</v>
      </c>
      <c r="AF131" s="43" t="s">
        <v>220</v>
      </c>
      <c r="AG131" s="26" t="s">
        <v>0</v>
      </c>
      <c r="AH131" s="29" t="s">
        <v>125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43">
        <v>8</v>
      </c>
      <c r="AF132" s="43" t="s">
        <v>220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43">
        <v>8</v>
      </c>
      <c r="AF133" s="43" t="s">
        <v>220</v>
      </c>
      <c r="AG133" s="26" t="s">
        <v>1</v>
      </c>
      <c r="AH133" s="29" t="s">
        <v>125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43">
        <v>8</v>
      </c>
      <c r="AF134" s="43" t="s">
        <v>220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43">
        <v>8</v>
      </c>
      <c r="AF135" s="43" t="s">
        <v>220</v>
      </c>
      <c r="AG135" s="26" t="s">
        <v>0</v>
      </c>
      <c r="AH135" s="29" t="s">
        <v>125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43">
        <v>9</v>
      </c>
      <c r="AF136" s="43" t="s">
        <v>220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43">
        <v>9</v>
      </c>
      <c r="AF137" s="43" t="s">
        <v>220</v>
      </c>
      <c r="AG137" s="26" t="s">
        <v>1</v>
      </c>
      <c r="AH137" s="29" t="s">
        <v>125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43">
        <v>9</v>
      </c>
      <c r="AF138" s="43" t="s">
        <v>220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43">
        <v>9</v>
      </c>
      <c r="AF139" s="43" t="s">
        <v>220</v>
      </c>
      <c r="AG139" s="26" t="s">
        <v>0</v>
      </c>
      <c r="AH139" s="29" t="s">
        <v>125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43">
        <v>10</v>
      </c>
      <c r="AF140" s="43" t="s">
        <v>220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43">
        <v>10</v>
      </c>
      <c r="AF141" s="43" t="s">
        <v>220</v>
      </c>
      <c r="AG141" s="26" t="s">
        <v>1</v>
      </c>
      <c r="AH141" s="29" t="s">
        <v>125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43">
        <v>10</v>
      </c>
      <c r="AF142" s="43" t="s">
        <v>220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43">
        <v>10</v>
      </c>
      <c r="AF143" s="43" t="s">
        <v>220</v>
      </c>
      <c r="AG143" s="26" t="s">
        <v>0</v>
      </c>
      <c r="AH143" s="29" t="s">
        <v>125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43">
        <v>11</v>
      </c>
      <c r="AF144" s="43" t="s">
        <v>220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43">
        <v>11</v>
      </c>
      <c r="AF145" s="43" t="s">
        <v>220</v>
      </c>
      <c r="AG145" s="26" t="s">
        <v>1</v>
      </c>
      <c r="AH145" s="29" t="s">
        <v>125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43">
        <v>11</v>
      </c>
      <c r="AF146" s="43" t="s">
        <v>220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43">
        <v>11</v>
      </c>
      <c r="AF147" s="43" t="s">
        <v>220</v>
      </c>
      <c r="AG147" s="26" t="s">
        <v>0</v>
      </c>
      <c r="AH147" s="29" t="s">
        <v>125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43">
        <v>12</v>
      </c>
      <c r="AF148" s="43" t="s">
        <v>220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43">
        <v>12</v>
      </c>
      <c r="AF149" s="43" t="s">
        <v>220</v>
      </c>
      <c r="AG149" s="26" t="s">
        <v>1</v>
      </c>
      <c r="AH149" s="29" t="s">
        <v>125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43">
        <v>12</v>
      </c>
      <c r="AF150" s="43" t="s">
        <v>220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43">
        <v>12</v>
      </c>
      <c r="AF151" s="43" t="s">
        <v>220</v>
      </c>
      <c r="AG151" s="26" t="s">
        <v>0</v>
      </c>
      <c r="AH151" s="29" t="s">
        <v>125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2020-05-14T09:26:03Z</dcterms:modified>
</cp:coreProperties>
</file>