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 defaultThemeVersion="124226"/>
  <xr:revisionPtr revIDLastSave="0" documentId="13_ncr:1_{21D5BDC8-2A1B-4A9B-8AE8-B3152226F889}" xr6:coauthVersionLast="47" xr6:coauthVersionMax="47" xr10:uidLastSave="{00000000-0000-0000-0000-000000000000}"/>
  <workbookProtection workbookAlgorithmName="SHA-512" workbookHashValue="LQgR30bqWlYCsvjVVOFqYDdEyL9uFoV4M9jgT8Ew36WAvFfYMVkU3z9k9ifFZbjBq1dmuHnNshijKQ1XAzmTQg==" workbookSaltValue="GzOVtOM+VNMJMKbPwGz2ww==" workbookSpinCount="100000" lockStructure="1"/>
  <bookViews>
    <workbookView xWindow="-108" yWindow="-108" windowWidth="23256" windowHeight="12576" tabRatio="553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既存設備!$A$1:$AV$67</definedName>
    <definedName name="_xlnm.Print_Area" localSheetId="1">導入予定設備!$A$1:$AM$66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38" l="1"/>
  <c r="B7" i="51" l="1"/>
  <c r="AP23" i="51"/>
  <c r="T46" i="38" l="1"/>
  <c r="T45" i="38"/>
  <c r="T44" i="38"/>
  <c r="T43" i="38"/>
  <c r="T42" i="38"/>
  <c r="T41" i="38"/>
  <c r="T40" i="38"/>
  <c r="T39" i="38"/>
  <c r="T38" i="38"/>
  <c r="T37" i="38"/>
  <c r="T36" i="38"/>
  <c r="T35" i="38"/>
  <c r="T30" i="51" l="1"/>
  <c r="T29" i="51"/>
  <c r="T28" i="51" l="1"/>
  <c r="G35" i="51" l="1"/>
  <c r="G54" i="51" s="1"/>
  <c r="I22" i="38"/>
  <c r="G36" i="51" l="1"/>
  <c r="G55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T28" i="38" s="1"/>
  <c r="T30" i="38" l="1"/>
  <c r="T29" i="38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G38" i="51"/>
  <c r="G57" i="51" s="1"/>
  <c r="G37" i="51"/>
  <c r="G56" i="51" s="1"/>
  <c r="I19" i="38"/>
  <c r="I19" i="51"/>
  <c r="G36" i="38" l="1"/>
  <c r="G40" i="38"/>
  <c r="G44" i="38"/>
  <c r="G37" i="38"/>
  <c r="G41" i="38"/>
  <c r="G45" i="38"/>
  <c r="G38" i="38"/>
  <c r="G42" i="38"/>
  <c r="G46" i="38"/>
  <c r="G39" i="38"/>
  <c r="G43" i="38"/>
  <c r="G35" i="38"/>
  <c r="T65" i="51"/>
  <c r="J65" i="51"/>
  <c r="T64" i="51"/>
  <c r="J64" i="51"/>
  <c r="T63" i="51"/>
  <c r="J63" i="51"/>
  <c r="T62" i="51"/>
  <c r="J62" i="51"/>
  <c r="T61" i="51"/>
  <c r="J61" i="51"/>
  <c r="T60" i="51"/>
  <c r="T59" i="51"/>
  <c r="T58" i="51"/>
  <c r="T57" i="51"/>
  <c r="T56" i="51"/>
  <c r="T55" i="51"/>
  <c r="T54" i="51"/>
  <c r="J54" i="51"/>
  <c r="T47" i="51"/>
  <c r="AP46" i="51"/>
  <c r="AO46" i="51"/>
  <c r="AP45" i="51"/>
  <c r="AO45" i="51"/>
  <c r="AP44" i="51"/>
  <c r="AO44" i="51"/>
  <c r="AP43" i="51"/>
  <c r="AO43" i="51"/>
  <c r="AP42" i="51"/>
  <c r="AO42" i="51"/>
  <c r="AP41" i="51"/>
  <c r="AO41" i="51"/>
  <c r="M41" i="51" s="1"/>
  <c r="AP40" i="51"/>
  <c r="AO40" i="51"/>
  <c r="M40" i="51" s="1"/>
  <c r="AP39" i="51"/>
  <c r="AO39" i="51"/>
  <c r="M39" i="51" s="1"/>
  <c r="AP38" i="51"/>
  <c r="AO38" i="51"/>
  <c r="M38" i="51" s="1"/>
  <c r="AP37" i="51"/>
  <c r="AO37" i="51"/>
  <c r="M37" i="51" s="1"/>
  <c r="AP36" i="51"/>
  <c r="AO36" i="51"/>
  <c r="AP35" i="51"/>
  <c r="AO35" i="51"/>
  <c r="AP29" i="51"/>
  <c r="AP28" i="51"/>
  <c r="AQ21" i="51"/>
  <c r="AP21" i="51"/>
  <c r="AP17" i="51"/>
  <c r="AP16" i="51"/>
  <c r="W61" i="51" l="1"/>
  <c r="W63" i="51"/>
  <c r="W65" i="51"/>
  <c r="M35" i="51"/>
  <c r="M35" i="38" s="1"/>
  <c r="M43" i="51"/>
  <c r="AJ148" i="2" s="1"/>
  <c r="M45" i="51"/>
  <c r="M45" i="38" s="1"/>
  <c r="M42" i="51"/>
  <c r="AJ144" i="2" s="1"/>
  <c r="M44" i="51"/>
  <c r="AJ104" i="2" s="1"/>
  <c r="M46" i="51"/>
  <c r="M46" i="38" s="1"/>
  <c r="M38" i="38"/>
  <c r="AJ130" i="2"/>
  <c r="AJ128" i="2"/>
  <c r="M40" i="38"/>
  <c r="AJ138" i="2"/>
  <c r="AJ136" i="2"/>
  <c r="M37" i="38"/>
  <c r="AJ126" i="2"/>
  <c r="AJ124" i="2"/>
  <c r="M39" i="38"/>
  <c r="AJ134" i="2"/>
  <c r="AJ132" i="2"/>
  <c r="M41" i="38"/>
  <c r="AJ142" i="2"/>
  <c r="AJ140" i="2"/>
  <c r="AQ35" i="51"/>
  <c r="AQ42" i="51"/>
  <c r="AQ44" i="51"/>
  <c r="AQ46" i="51"/>
  <c r="AQ43" i="51"/>
  <c r="AQ45" i="51"/>
  <c r="AQ41" i="51"/>
  <c r="AR41" i="51" s="1"/>
  <c r="AQ39" i="51"/>
  <c r="AR39" i="51" s="1"/>
  <c r="M36" i="51"/>
  <c r="AQ36" i="51"/>
  <c r="AQ37" i="51"/>
  <c r="AR37" i="51" s="1"/>
  <c r="AQ40" i="51"/>
  <c r="AR40" i="51" s="1"/>
  <c r="AQ38" i="51"/>
  <c r="AR38" i="51" s="1"/>
  <c r="T66" i="51"/>
  <c r="G57" i="38"/>
  <c r="G60" i="38"/>
  <c r="G63" i="38"/>
  <c r="G55" i="38"/>
  <c r="G58" i="38"/>
  <c r="G61" i="38"/>
  <c r="G64" i="38"/>
  <c r="G56" i="38"/>
  <c r="G59" i="38"/>
  <c r="G62" i="38"/>
  <c r="G54" i="38"/>
  <c r="G53" i="38"/>
  <c r="AP30" i="51"/>
  <c r="J57" i="51" s="1"/>
  <c r="W57" i="51" s="1"/>
  <c r="W54" i="51"/>
  <c r="W62" i="51"/>
  <c r="W64" i="51"/>
  <c r="AR42" i="51" l="1"/>
  <c r="AJ146" i="2"/>
  <c r="AJ106" i="2"/>
  <c r="M42" i="38"/>
  <c r="M43" i="38"/>
  <c r="J59" i="51"/>
  <c r="W59" i="51" s="1"/>
  <c r="J55" i="51"/>
  <c r="W55" i="51" s="1"/>
  <c r="J56" i="51"/>
  <c r="W56" i="51" s="1"/>
  <c r="AR44" i="51"/>
  <c r="AJ112" i="2"/>
  <c r="AJ108" i="2"/>
  <c r="AJ150" i="2"/>
  <c r="M44" i="38"/>
  <c r="AJ116" i="2"/>
  <c r="AR46" i="51"/>
  <c r="AJ118" i="2"/>
  <c r="AR45" i="51"/>
  <c r="AJ114" i="2"/>
  <c r="AJ110" i="2"/>
  <c r="AR43" i="51"/>
  <c r="AR35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M36" i="38"/>
  <c r="AJ122" i="2"/>
  <c r="AJ120" i="2"/>
  <c r="AJ115" i="2"/>
  <c r="AJ113" i="2"/>
  <c r="AJ111" i="2"/>
  <c r="AJ109" i="2"/>
  <c r="AR36" i="51"/>
  <c r="AR47" i="51"/>
  <c r="J58" i="51"/>
  <c r="W58" i="51" s="1"/>
  <c r="J60" i="51"/>
  <c r="W60" i="51" s="1"/>
  <c r="AJ151" i="2" l="1"/>
  <c r="AJ145" i="2"/>
  <c r="AJ107" i="2"/>
  <c r="AJ147" i="2"/>
  <c r="AJ149" i="2"/>
  <c r="B48" i="51"/>
  <c r="B48" i="38" s="1"/>
  <c r="AJ105" i="2"/>
  <c r="AJ123" i="2"/>
  <c r="AJ121" i="2"/>
  <c r="W66" i="51"/>
  <c r="AV28" i="38"/>
  <c r="AR46" i="38" l="1"/>
  <c r="AQ46" i="38"/>
  <c r="T53" i="38"/>
  <c r="J53" i="38"/>
  <c r="T47" i="38"/>
  <c r="J35" i="38"/>
  <c r="AQ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18" i="38" l="1"/>
  <c r="AQ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3" i="38" l="1"/>
  <c r="J64" i="38"/>
  <c r="AR28" i="38" l="1"/>
  <c r="AT28" i="38" s="1"/>
  <c r="J54" i="38" l="1"/>
  <c r="J55" i="38"/>
  <c r="J56" i="38"/>
  <c r="J57" i="38"/>
  <c r="J62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AQ16" i="51" s="1"/>
  <c r="J41" i="51" l="1"/>
  <c r="J38" i="51"/>
  <c r="J39" i="51"/>
  <c r="J37" i="51"/>
  <c r="J36" i="51"/>
  <c r="J40" i="51"/>
  <c r="J60" i="38" l="1"/>
  <c r="J61" i="38"/>
  <c r="J58" i="38"/>
  <c r="J59" i="38"/>
  <c r="T54" i="38" l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63" i="38" s="1"/>
  <c r="T64" i="38"/>
  <c r="W53" i="38"/>
  <c r="J36" i="38"/>
  <c r="J37" i="38"/>
  <c r="J38" i="38"/>
  <c r="J39" i="38"/>
  <c r="J40" i="38"/>
  <c r="J41" i="38"/>
  <c r="J42" i="38"/>
  <c r="J43" i="38"/>
  <c r="J44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AQ37" i="38"/>
  <c r="AR36" i="38"/>
  <c r="AQ36" i="38"/>
  <c r="AR35" i="38"/>
  <c r="W64" i="38" l="1"/>
  <c r="W54" i="38"/>
  <c r="T65" i="38"/>
  <c r="W65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AQ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Q36" i="51" l="1"/>
  <c r="Q41" i="51"/>
  <c r="Q46" i="51"/>
  <c r="AS46" i="51" s="1"/>
  <c r="Q40" i="51"/>
  <c r="Q45" i="51"/>
  <c r="Q39" i="51"/>
  <c r="AS39" i="51" s="1"/>
  <c r="Q37" i="51"/>
  <c r="AS37" i="51" s="1"/>
  <c r="Q44" i="51"/>
  <c r="Q38" i="51"/>
  <c r="Q43" i="51"/>
  <c r="Q42" i="51"/>
  <c r="Q42" i="38"/>
  <c r="Q43" i="38"/>
  <c r="Q45" i="38"/>
  <c r="Q46" i="38"/>
  <c r="Q36" i="38"/>
  <c r="Q40" i="38"/>
  <c r="Q41" i="38"/>
  <c r="Q38" i="38"/>
  <c r="Q37" i="38"/>
  <c r="Q39" i="38"/>
  <c r="Q44" i="38"/>
  <c r="AS45" i="51"/>
  <c r="W37" i="51" l="1"/>
  <c r="AB37" i="51"/>
  <c r="W46" i="51"/>
  <c r="AB46" i="51"/>
  <c r="AB39" i="51"/>
  <c r="W39" i="51"/>
  <c r="AB45" i="51"/>
  <c r="W45" i="51"/>
  <c r="AS43" i="51"/>
  <c r="AS36" i="51"/>
  <c r="AS42" i="51"/>
  <c r="AS40" i="51"/>
  <c r="AS38" i="51"/>
  <c r="AS44" i="51"/>
  <c r="AS41" i="51"/>
  <c r="AT38" i="38"/>
  <c r="AT41" i="38"/>
  <c r="AT36" i="38"/>
  <c r="AT37" i="38"/>
  <c r="AT43" i="38"/>
  <c r="AT46" i="38"/>
  <c r="AT40" i="38"/>
  <c r="AT39" i="38"/>
  <c r="AT42" i="38"/>
  <c r="AT45" i="38"/>
  <c r="AT44" i="38"/>
  <c r="W44" i="38" l="1"/>
  <c r="AB44" i="38"/>
  <c r="W42" i="38"/>
  <c r="AB42" i="38"/>
  <c r="W36" i="38"/>
  <c r="AB36" i="38"/>
  <c r="W38" i="38"/>
  <c r="AB38" i="38"/>
  <c r="W46" i="38"/>
  <c r="AB46" i="38"/>
  <c r="W39" i="38"/>
  <c r="AB39" i="38"/>
  <c r="AB41" i="38"/>
  <c r="W41" i="38"/>
  <c r="W40" i="38"/>
  <c r="AB40" i="38"/>
  <c r="W43" i="38"/>
  <c r="AB43" i="38"/>
  <c r="W45" i="38"/>
  <c r="AB45" i="38"/>
  <c r="W37" i="38"/>
  <c r="AB37" i="38"/>
  <c r="W44" i="51"/>
  <c r="AB44" i="51"/>
  <c r="W40" i="51"/>
  <c r="AB40" i="51"/>
  <c r="W42" i="51"/>
  <c r="AB42" i="51"/>
  <c r="W36" i="51"/>
  <c r="AB36" i="51"/>
  <c r="W41" i="51"/>
  <c r="AB41" i="51"/>
  <c r="W43" i="51"/>
  <c r="AB43" i="51"/>
  <c r="W38" i="51"/>
  <c r="AB38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5" i="38" s="1"/>
  <c r="AT35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5" i="51" s="1"/>
  <c r="AO114" i="2"/>
  <c r="AP114" i="2" s="1"/>
  <c r="AO131" i="2"/>
  <c r="AP131" i="2" s="1"/>
  <c r="AB35" i="38" l="1"/>
  <c r="AB47" i="38" s="1"/>
  <c r="W35" i="38"/>
  <c r="W47" i="38" s="1"/>
  <c r="AS35" i="51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5" i="51" l="1"/>
  <c r="AB47" i="51" s="1"/>
  <c r="W35" i="51"/>
  <c r="W47" i="51" s="1"/>
</calcChain>
</file>

<file path=xl/sharedStrings.xml><?xml version="1.0" encoding="utf-8"?>
<sst xmlns="http://schemas.openxmlformats.org/spreadsheetml/2006/main" count="942" uniqueCount="252">
  <si>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</si>
  <si>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</si>
  <si>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</si>
  <si>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</si>
  <si>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</si>
  <si>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</si>
  <si>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</si>
  <si>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</si>
  <si>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</si>
  <si>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</si>
  <si>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</si>
  <si>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</si>
  <si>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</si>
  <si>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</si>
  <si>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</si>
  <si>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</si>
  <si>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</si>
  <si>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</si>
  <si>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</si>
  <si>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</si>
  <si>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</si>
  <si>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</si>
  <si>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</si>
  <si>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</si>
  <si>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</si>
  <si>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</si>
  <si>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</si>
  <si>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</si>
  <si>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</si>
  <si>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</si>
  <si>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</si>
  <si>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</si>
  <si>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</si>
  <si>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</si>
  <si>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</si>
  <si>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</si>
  <si>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</si>
  <si>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</si>
  <si>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</si>
  <si>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</si>
  <si>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</si>
  <si>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</si>
  <si>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</si>
  <si>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</si>
  <si>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</si>
  <si>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</si>
  <si>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</si>
  <si>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</si>
  <si>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</si>
  <si>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</si>
  <si>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</si>
  <si>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</si>
  <si>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</si>
  <si>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</si>
  <si>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</si>
  <si>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</si>
  <si>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</si>
  <si>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</si>
  <si>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</si>
  <si>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</si>
  <si>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</si>
  <si>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</si>
  <si>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</si>
  <si>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</si>
  <si>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</si>
  <si>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</si>
  <si>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</si>
  <si>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</si>
  <si>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</si>
  <si>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</si>
  <si>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</si>
  <si>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</si>
  <si>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</si>
  <si>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</si>
  <si>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</si>
  <si>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</si>
  <si>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</si>
  <si>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</si>
  <si>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</si>
  <si>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</si>
  <si>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</si>
  <si>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</si>
  <si>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</si>
  <si>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</si>
  <si>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</si>
  <si>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</si>
  <si>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</si>
  <si>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</si>
  <si>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</si>
  <si>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</si>
  <si>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</si>
  <si>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</si>
  <si>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</si>
  <si>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</si>
  <si>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</si>
  <si>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</si>
  <si>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</si>
  <si>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</si>
  <si>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</si>
  <si>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</si>
  <si>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</si>
  <si>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</si>
  <si>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</si>
  <si>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</si>
  <si>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</si>
  <si>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</si>
  <si>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</si>
  <si>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</si>
  <si>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</si>
  <si>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</si>
  <si>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</si>
  <si>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</si>
  <si>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</si>
  <si>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</si>
  <si>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</si>
  <si>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</si>
  <si>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</si>
  <si>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</si>
  <si>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</si>
  <si>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</si>
  <si>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</si>
  <si>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</si>
  <si>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</si>
  <si>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</si>
  <si>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</si>
  <si>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</si>
  <si>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</si>
  <si>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</si>
  <si>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</si>
  <si>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</si>
  <si>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</si>
  <si>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</si>
  <si>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</si>
  <si>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</si>
  <si>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</si>
  <si>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</si>
  <si>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</si>
  <si>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</si>
  <si>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</si>
  <si>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</si>
  <si>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</si>
  <si>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</si>
  <si>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</si>
  <si>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</si>
  <si>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</si>
  <si>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</si>
  <si>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</si>
  <si>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</si>
  <si>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</si>
  <si>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</si>
  <si>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</si>
  <si>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</si>
  <si>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</si>
  <si>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</si>
  <si>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</si>
  <si>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</si>
  <si>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</si>
  <si>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</si>
  <si>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</si>
  <si>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</si>
  <si>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</si>
  <si>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</si>
  <si>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</si>
  <si>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</si>
  <si>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</si>
  <si>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</si>
  <si>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</si>
  <si>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</si>
  <si>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</si>
  <si>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</si>
  <si>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</si>
  <si>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</si>
  <si>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</si>
  <si>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</si>
  <si>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</si>
  <si>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</si>
  <si>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</si>
  <si>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</si>
  <si>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</si>
  <si>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</si>
  <si>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</si>
  <si>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</si>
  <si>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</si>
  <si>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</si>
  <si>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</si>
  <si>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</si>
  <si>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</si>
  <si>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</si>
  <si>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</si>
  <si>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</si>
  <si>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</si>
  <si>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</si>
  <si>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</si>
  <si>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</si>
  <si>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</si>
  <si>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</si>
  <si>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</si>
  <si>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</si>
  <si>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</si>
  <si>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</si>
  <si>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</si>
  <si>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</si>
  <si>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</si>
  <si>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</si>
  <si>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</si>
  <si>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</si>
  <si>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</si>
  <si>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</si>
  <si>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</si>
  <si>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</si>
  <si>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</si>
  <si>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</si>
  <si>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</si>
  <si>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</si>
  <si>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</si>
  <si>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</si>
  <si>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</si>
  <si>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</si>
  <si>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</si>
  <si>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</si>
  <si>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</si>
  <si>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</si>
  <si>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</si>
  <si>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</si>
  <si>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</si>
  <si>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</si>
  <si>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</si>
  <si>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</si>
  <si>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</si>
  <si>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</si>
  <si>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</si>
  <si>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</si>
  <si>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</si>
  <si>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</si>
  <si>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</si>
  <si>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</si>
  <si>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</si>
  <si>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</si>
  <si>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</si>
  <si>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</si>
  <si>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</si>
  <si>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</si>
  <si>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</si>
  <si>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</si>
  <si>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t>2021年</t>
    <rPh sb="4" eb="5">
      <t>ネン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</si>
  <si>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</si>
  <si>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</si>
  <si>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</si>
  <si>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</si>
  <si>
    <t>ガス使用量
（高位）</t>
    <rPh sb="2" eb="5">
      <t>シヨウリョウ</t>
    </rPh>
    <rPh sb="7" eb="9">
      <t>コウイ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</si>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</sst>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 style="thick">
        <color rgb="FFFF0000"/>
      </left>
      <right/>
      <top style="double">
        <color auto="1"/>
      </top>
      <bottom style="thick">
        <color rgb="FFFF0000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27" xfId="0" applyFill="1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12" fillId="2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2" fontId="12" fillId="0" borderId="33" xfId="4" applyNumberFormat="1" applyFont="1" applyBorder="1" applyAlignment="1" applyProtection="1">
      <alignment horizontal="center" vertical="center"/>
      <protection hidden="1"/>
    </xf>
    <xf numFmtId="192" fontId="12" fillId="0" borderId="31" xfId="4" applyNumberFormat="1" applyFont="1" applyBorder="1" applyAlignment="1" applyProtection="1">
      <alignment horizontal="center" vertical="center"/>
      <protection hidden="1"/>
    </xf>
    <xf numFmtId="192" fontId="12" fillId="0" borderId="0" xfId="4" applyNumberFormat="1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178" fontId="12" fillId="0" borderId="33" xfId="8" applyNumberFormat="1" applyFont="1" applyBorder="1" applyAlignment="1" applyProtection="1">
      <alignment horizontal="center" vertical="center"/>
      <protection hidden="1"/>
    </xf>
    <xf numFmtId="178" fontId="12" fillId="0" borderId="31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Border="1" applyAlignment="1" applyProtection="1">
      <alignment vertical="center" shrinkToFit="1"/>
      <protection hidden="1"/>
    </xf>
    <xf numFmtId="0" fontId="12" fillId="0" borderId="33" xfId="8" applyFont="1" applyBorder="1" applyAlignment="1" applyProtection="1">
      <alignment horizontal="center" vertical="center"/>
      <protection hidden="1"/>
    </xf>
    <xf numFmtId="0" fontId="12" fillId="0" borderId="31" xfId="8" applyFont="1" applyBorder="1" applyAlignment="1" applyProtection="1">
      <alignment horizontal="center" vertical="center"/>
      <protection hidden="1"/>
    </xf>
    <xf numFmtId="192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1" fontId="12" fillId="0" borderId="33" xfId="8" applyNumberFormat="1" applyFont="1" applyFill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Border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3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17" fillId="0" borderId="13" xfId="8" applyFont="1" applyFill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Fill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8" fontId="12" fillId="0" borderId="29" xfId="8" applyNumberFormat="1" applyFont="1" applyBorder="1" applyAlignment="1" applyProtection="1">
      <alignment horizontal="center" vertical="center"/>
      <protection hidden="1"/>
    </xf>
    <xf numFmtId="178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0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0" fontId="12" fillId="0" borderId="0" xfId="8" applyNumberFormat="1" applyFont="1" applyFill="1" applyBorder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2" fontId="16" fillId="0" borderId="0" xfId="8" applyNumberFormat="1" applyFont="1" applyBorder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0" fontId="26" fillId="0" borderId="0" xfId="8" quotePrefix="1" applyFont="1" applyFill="1" applyBorder="1" applyAlignment="1" applyProtection="1">
      <alignment horizontal="left" vertical="center" shrinkToFit="1"/>
      <protection hidden="1"/>
    </xf>
    <xf numFmtId="0" fontId="26" fillId="0" borderId="0" xfId="8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Fill="1" applyBorder="1" applyProtection="1">
      <alignment vertical="center"/>
      <protection hidden="1"/>
    </xf>
    <xf numFmtId="191" fontId="12" fillId="0" borderId="30" xfId="8" applyNumberFormat="1" applyFont="1" applyFill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79" fontId="12" fillId="0" borderId="0" xfId="8" applyNumberFormat="1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3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18" fillId="0" borderId="0" xfId="0" applyNumberFormat="1" applyFo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90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0" fontId="12" fillId="0" borderId="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190" fontId="12" fillId="0" borderId="37" xfId="8" applyNumberFormat="1" applyFont="1" applyBorder="1" applyAlignment="1" applyProtection="1">
      <alignment horizontal="right" vertical="center" shrinkToFit="1"/>
      <protection hidden="1"/>
    </xf>
    <xf numFmtId="190" fontId="12" fillId="0" borderId="5" xfId="8" applyNumberFormat="1" applyFont="1" applyBorder="1" applyAlignment="1" applyProtection="1">
      <alignment horizontal="right" vertical="center" shrinkToFit="1"/>
      <protection hidden="1"/>
    </xf>
    <xf numFmtId="190" fontId="12" fillId="0" borderId="38" xfId="8" applyNumberFormat="1" applyFont="1" applyBorder="1" applyAlignment="1" applyProtection="1">
      <alignment horizontal="right" vertical="center" shrinkToFit="1"/>
      <protection hidden="1"/>
    </xf>
    <xf numFmtId="190" fontId="12" fillId="0" borderId="48" xfId="8" applyNumberFormat="1" applyFont="1" applyBorder="1" applyAlignment="1" applyProtection="1">
      <alignment horizontal="right" vertical="center" shrinkToFit="1"/>
      <protection hidden="1"/>
    </xf>
    <xf numFmtId="190" fontId="12" fillId="0" borderId="18" xfId="8" applyNumberFormat="1" applyFont="1" applyBorder="1" applyAlignment="1" applyProtection="1">
      <alignment horizontal="right" vertical="center" shrinkToFit="1"/>
      <protection hidden="1"/>
    </xf>
    <xf numFmtId="190" fontId="12" fillId="0" borderId="43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8" applyNumberFormat="1" applyFont="1" applyBorder="1" applyAlignment="1" applyProtection="1">
      <alignment horizontal="right" vertical="center" shrinkToFit="1"/>
      <protection hidden="1"/>
    </xf>
    <xf numFmtId="190" fontId="12" fillId="0" borderId="50" xfId="8" applyNumberFormat="1" applyFont="1" applyBorder="1" applyAlignment="1" applyProtection="1">
      <alignment horizontal="right" vertical="center" shrinkToFit="1"/>
      <protection hidden="1"/>
    </xf>
    <xf numFmtId="190" fontId="12" fillId="0" borderId="51" xfId="8" applyNumberFormat="1" applyFont="1" applyBorder="1" applyAlignment="1" applyProtection="1">
      <alignment horizontal="right" vertical="center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5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0" fontId="12" fillId="0" borderId="34" xfId="8" applyNumberFormat="1" applyFont="1" applyBorder="1" applyAlignment="1" applyProtection="1">
      <alignment horizontal="right" vertical="center" shrinkToFit="1"/>
      <protection hidden="1"/>
    </xf>
    <xf numFmtId="190" fontId="12" fillId="0" borderId="35" xfId="8" applyNumberFormat="1" applyFont="1" applyBorder="1" applyAlignment="1" applyProtection="1">
      <alignment horizontal="right" vertical="center" shrinkToFit="1"/>
      <protection hidden="1"/>
    </xf>
    <xf numFmtId="190" fontId="12" fillId="0" borderId="36" xfId="8" applyNumberFormat="1" applyFont="1" applyBorder="1" applyAlignment="1" applyProtection="1">
      <alignment horizontal="right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192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8" xfId="4" applyNumberFormat="1" applyFont="1" applyFill="1" applyBorder="1" applyAlignment="1" applyProtection="1">
      <alignment horizontal="right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90" fontId="12" fillId="0" borderId="4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6" xfId="4" applyNumberFormat="1" applyFont="1" applyBorder="1" applyAlignment="1" applyProtection="1">
      <alignment horizontal="right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4" xfId="8" applyFont="1" applyFill="1" applyBorder="1" applyAlignment="1" applyProtection="1">
      <alignment horizontal="center" vertical="center" shrinkToFit="1"/>
      <protection hidden="1"/>
    </xf>
    <xf numFmtId="0" fontId="12" fillId="0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wrapText="1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Fill="1" applyBorder="1" applyAlignment="1" applyProtection="1">
      <alignment horizontal="center" vertical="center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192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0" fontId="26" fillId="0" borderId="34" xfId="4" applyNumberFormat="1" applyFont="1" applyBorder="1" applyAlignment="1" applyProtection="1">
      <alignment horizontal="right" vertical="center" shrinkToFit="1"/>
      <protection hidden="1"/>
    </xf>
    <xf numFmtId="190" fontId="26" fillId="0" borderId="35" xfId="4" applyNumberFormat="1" applyFont="1" applyBorder="1" applyAlignment="1" applyProtection="1">
      <alignment horizontal="right" vertical="center" shrinkToFit="1"/>
      <protection hidden="1"/>
    </xf>
    <xf numFmtId="190" fontId="26" fillId="0" borderId="36" xfId="4" applyNumberFormat="1" applyFont="1" applyBorder="1" applyAlignment="1" applyProtection="1">
      <alignment horizontal="right" vertical="center" shrinkToFit="1"/>
      <protection hidden="1"/>
    </xf>
    <xf numFmtId="190" fontId="26" fillId="0" borderId="37" xfId="4" applyNumberFormat="1" applyFont="1" applyBorder="1" applyAlignment="1" applyProtection="1">
      <alignment horizontal="right" vertical="center" shrinkToFit="1"/>
      <protection hidden="1"/>
    </xf>
    <xf numFmtId="190" fontId="26" fillId="0" borderId="5" xfId="4" applyNumberFormat="1" applyFont="1" applyBorder="1" applyAlignment="1" applyProtection="1">
      <alignment horizontal="right" vertical="center" shrinkToFit="1"/>
      <protection hidden="1"/>
    </xf>
    <xf numFmtId="190" fontId="26" fillId="0" borderId="38" xfId="4" applyNumberFormat="1" applyFont="1" applyBorder="1" applyAlignment="1" applyProtection="1">
      <alignment horizontal="right" vertical="center" shrinkToFit="1"/>
      <protection hidden="1"/>
    </xf>
    <xf numFmtId="192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4" fontId="12" fillId="0" borderId="4" xfId="8" applyNumberFormat="1" applyFont="1" applyBorder="1" applyAlignment="1" applyProtection="1">
      <alignment horizontal="right" vertical="center" shrinkToFit="1"/>
      <protection hidden="1"/>
    </xf>
    <xf numFmtId="194" fontId="12" fillId="0" borderId="5" xfId="8" applyNumberFormat="1" applyFont="1" applyBorder="1" applyAlignment="1" applyProtection="1">
      <alignment horizontal="right" vertical="center" shrinkToFit="1"/>
      <protection hidden="1"/>
    </xf>
    <xf numFmtId="194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0" fontId="12" fillId="0" borderId="34" xfId="4" applyNumberFormat="1" applyFont="1" applyBorder="1" applyAlignment="1" applyProtection="1">
      <alignment horizontal="right" vertical="center" shrinkToFit="1"/>
      <protection hidden="1"/>
    </xf>
    <xf numFmtId="190" fontId="12" fillId="0" borderId="35" xfId="4" applyNumberFormat="1" applyFont="1" applyBorder="1" applyAlignment="1" applyProtection="1">
      <alignment horizontal="right" vertical="center" shrinkToFit="1"/>
      <protection hidden="1"/>
    </xf>
    <xf numFmtId="190" fontId="12" fillId="0" borderId="36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90" fontId="12" fillId="0" borderId="37" xfId="4" applyNumberFormat="1" applyFont="1" applyBorder="1" applyAlignment="1" applyProtection="1">
      <alignment horizontal="right" vertical="center" shrinkToFit="1"/>
      <protection hidden="1"/>
    </xf>
    <xf numFmtId="190" fontId="12" fillId="0" borderId="38" xfId="4" applyNumberFormat="1" applyFont="1" applyBorder="1" applyAlignment="1" applyProtection="1">
      <alignment horizontal="right" vertical="center" shrinkToFit="1"/>
      <protection hidden="1"/>
    </xf>
    <xf numFmtId="190" fontId="26" fillId="0" borderId="48" xfId="4" applyNumberFormat="1" applyFont="1" applyBorder="1" applyAlignment="1" applyProtection="1">
      <alignment horizontal="right" vertical="center" shrinkToFit="1"/>
      <protection hidden="1"/>
    </xf>
    <xf numFmtId="190" fontId="26" fillId="0" borderId="18" xfId="4" applyNumberFormat="1" applyFont="1" applyBorder="1" applyAlignment="1" applyProtection="1">
      <alignment horizontal="right" vertical="center" shrinkToFit="1"/>
      <protection hidden="1"/>
    </xf>
    <xf numFmtId="190" fontId="26" fillId="0" borderId="43" xfId="4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5" fontId="12" fillId="0" borderId="19" xfId="4" applyNumberFormat="1" applyFont="1" applyFill="1" applyBorder="1" applyAlignment="1" applyProtection="1">
      <alignment horizontal="right" shrinkToFit="1"/>
      <protection hidden="1"/>
    </xf>
    <xf numFmtId="185" fontId="12" fillId="0" borderId="20" xfId="4" applyNumberFormat="1" applyFont="1" applyFill="1" applyBorder="1" applyAlignment="1" applyProtection="1">
      <alignment horizontal="right" shrinkToFit="1"/>
      <protection hidden="1"/>
    </xf>
    <xf numFmtId="185" fontId="12" fillId="0" borderId="21" xfId="4" applyNumberFormat="1" applyFont="1" applyFill="1" applyBorder="1" applyAlignment="1" applyProtection="1">
      <alignment horizontal="right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4" applyNumberFormat="1" applyFont="1" applyBorder="1" applyAlignment="1" applyProtection="1">
      <alignment horizontal="right" vertical="center" shrinkToFit="1"/>
      <protection hidden="1"/>
    </xf>
    <xf numFmtId="190" fontId="12" fillId="0" borderId="50" xfId="4" applyNumberFormat="1" applyFont="1" applyBorder="1" applyAlignment="1" applyProtection="1">
      <alignment horizontal="right" vertical="center" shrinkToFit="1"/>
      <protection hidden="1"/>
    </xf>
    <xf numFmtId="190" fontId="12" fillId="0" borderId="51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0" fontId="12" fillId="0" borderId="48" xfId="4" applyNumberFormat="1" applyFont="1" applyBorder="1" applyAlignment="1" applyProtection="1">
      <alignment horizontal="right" vertical="center" shrinkToFit="1"/>
      <protection hidden="1"/>
    </xf>
    <xf numFmtId="190" fontId="12" fillId="0" borderId="18" xfId="4" applyNumberFormat="1" applyFont="1" applyBorder="1" applyAlignment="1" applyProtection="1">
      <alignment horizontal="right" vertical="center" shrinkToFit="1"/>
      <protection hidden="1"/>
    </xf>
    <xf numFmtId="190" fontId="12" fillId="0" borderId="43" xfId="4" applyNumberFormat="1" applyFont="1" applyBorder="1" applyAlignment="1" applyProtection="1">
      <alignment horizontal="righ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181" fontId="12" fillId="0" borderId="40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5" fontId="36" fillId="0" borderId="39" xfId="8" applyNumberFormat="1" applyFont="1" applyFill="1" applyBorder="1" applyAlignment="1" applyProtection="1">
      <alignment horizontal="left" vertical="center" wrapText="1" shrinkToFit="1"/>
      <protection hidden="1"/>
    </xf>
    <xf numFmtId="195" fontId="36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6" fontId="12" fillId="0" borderId="19" xfId="8" applyNumberFormat="1" applyFont="1" applyBorder="1" applyAlignment="1" applyProtection="1">
      <alignment horizontal="right" vertical="center" shrinkToFit="1"/>
      <protection hidden="1"/>
    </xf>
    <xf numFmtId="186" fontId="12" fillId="0" borderId="20" xfId="8" applyNumberFormat="1" applyFont="1" applyBorder="1" applyAlignment="1" applyProtection="1">
      <alignment horizontal="right" vertical="center" shrinkToFit="1"/>
      <protection hidden="1"/>
    </xf>
    <xf numFmtId="186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4" applyNumberFormat="1" applyFont="1" applyFill="1" applyBorder="1" applyAlignment="1" applyProtection="1">
      <alignment horizontal="right" shrinkToFit="1"/>
      <protection hidden="1"/>
    </xf>
    <xf numFmtId="190" fontId="12" fillId="0" borderId="50" xfId="4" applyNumberFormat="1" applyFont="1" applyFill="1" applyBorder="1" applyAlignment="1" applyProtection="1">
      <alignment horizontal="right" shrinkToFit="1"/>
      <protection hidden="1"/>
    </xf>
    <xf numFmtId="190" fontId="12" fillId="0" borderId="51" xfId="4" applyNumberFormat="1" applyFont="1" applyFill="1" applyBorder="1" applyAlignment="1" applyProtection="1">
      <alignment horizontal="right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90" fontId="12" fillId="0" borderId="14" xfId="4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44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4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0" fontId="12" fillId="4" borderId="23" xfId="8" applyFont="1" applyFill="1" applyBorder="1" applyAlignment="1" applyProtection="1">
      <alignment horizontal="center" vertical="center" shrinkToFit="1"/>
      <protection hidden="1"/>
    </xf>
    <xf numFmtId="0" fontId="12" fillId="4" borderId="24" xfId="8" applyFont="1" applyFill="1" applyBorder="1" applyAlignment="1" applyProtection="1">
      <alignment horizontal="center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Fill="1" applyBorder="1" applyAlignment="1" applyProtection="1">
      <alignment horizontal="left" vertical="center" shrinkToFit="1"/>
      <protection hidden="1"/>
    </xf>
    <xf numFmtId="190" fontId="12" fillId="0" borderId="1" xfId="4" applyNumberFormat="1" applyFont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188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188" fontId="12" fillId="0" borderId="34" xfId="4" applyNumberFormat="1" applyFont="1" applyBorder="1" applyAlignment="1" applyProtection="1">
      <alignment horizontal="right" vertical="center" shrinkToFit="1"/>
      <protection hidden="1"/>
    </xf>
    <xf numFmtId="188" fontId="12" fillId="0" borderId="35" xfId="4" applyNumberFormat="1" applyFont="1" applyBorder="1" applyAlignment="1" applyProtection="1">
      <alignment horizontal="right" vertical="center" shrinkToFit="1"/>
      <protection hidden="1"/>
    </xf>
    <xf numFmtId="188" fontId="12" fillId="0" borderId="36" xfId="4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37" xfId="4" applyNumberFormat="1" applyFont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Border="1" applyAlignment="1" applyProtection="1">
      <alignment horizontal="right" vertical="center" shrinkToFit="1"/>
      <protection hidden="1"/>
    </xf>
    <xf numFmtId="188" fontId="12" fillId="0" borderId="38" xfId="4" applyNumberFormat="1" applyFont="1" applyBorder="1" applyAlignment="1" applyProtection="1">
      <alignment horizontal="right" vertical="center" shrinkToFit="1"/>
      <protection hidden="1"/>
    </xf>
    <xf numFmtId="187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48" xfId="4" applyNumberFormat="1" applyFont="1" applyBorder="1" applyAlignment="1" applyProtection="1">
      <alignment horizontal="right" vertical="center" shrinkToFit="1"/>
      <protection hidden="1"/>
    </xf>
    <xf numFmtId="188" fontId="12" fillId="0" borderId="18" xfId="4" applyNumberFormat="1" applyFont="1" applyBorder="1" applyAlignment="1" applyProtection="1">
      <alignment horizontal="right" vertical="center" shrinkToFit="1"/>
      <protection hidden="1"/>
    </xf>
    <xf numFmtId="188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Border="1" applyAlignment="1" applyProtection="1">
      <alignment horizontal="right" vertical="center" shrinkToFit="1"/>
      <protection hidden="1"/>
    </xf>
    <xf numFmtId="190" fontId="12" fillId="0" borderId="4" xfId="8" applyNumberFormat="1" applyFont="1" applyBorder="1" applyAlignment="1" applyProtection="1">
      <alignment horizontal="right" vertical="center" shrinkToFit="1"/>
      <protection hidden="1"/>
    </xf>
    <xf numFmtId="190" fontId="12" fillId="0" borderId="6" xfId="8" applyNumberFormat="1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8" fontId="12" fillId="0" borderId="49" xfId="4" applyNumberFormat="1" applyFont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Border="1" applyAlignment="1" applyProtection="1">
      <alignment horizontal="right" vertical="center" shrinkToFit="1"/>
      <protection hidden="1"/>
    </xf>
    <xf numFmtId="188" fontId="12" fillId="0" borderId="49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Fill="1" applyBorder="1" applyAlignment="1" applyProtection="1">
      <alignment horizontal="right" vertical="center" shrinkToFit="1"/>
      <protection hidden="1"/>
    </xf>
    <xf numFmtId="186" fontId="12" fillId="0" borderId="42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0" fontId="36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3"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132693</xdr:rowOff>
    </xdr:from>
    <xdr:ext cx="7344898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562999"/>
          <a:ext cx="7344898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698182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Ver.1.1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50</xdr:row>
      <xdr:rowOff>0</xdr:rowOff>
    </xdr:from>
    <xdr:to>
      <xdr:col>38</xdr:col>
      <xdr:colOff>88224</xdr:colOff>
      <xdr:row>52</xdr:row>
      <xdr:rowOff>184293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137456</xdr:rowOff>
    </xdr:from>
    <xdr:ext cx="7452474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400" y="567762"/>
          <a:ext cx="7452474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「令和３年度補正予算 省エネルギー投資促進支援事業費補助金」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 editAs="oneCell">
    <xdr:from>
      <xdr:col>32</xdr:col>
      <xdr:colOff>76200</xdr:colOff>
      <xdr:row>51</xdr:row>
      <xdr:rowOff>0</xdr:rowOff>
    </xdr:from>
    <xdr:to>
      <xdr:col>38</xdr:col>
      <xdr:colOff>78699</xdr:colOff>
      <xdr:row>53</xdr:row>
      <xdr:rowOff>184293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8097371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Ver.1.1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79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2"/>
  <cols>
    <col min="1" max="39" width="2.88671875" style="50" customWidth="1"/>
    <col min="40" max="40" width="1.88671875" style="50" customWidth="1"/>
    <col min="41" max="41" width="27" style="144" hidden="1" customWidth="1"/>
    <col min="42" max="42" width="16" style="144" hidden="1" customWidth="1"/>
    <col min="43" max="43" width="20" style="144" hidden="1" customWidth="1"/>
    <col min="44" max="44" width="9.44140625" style="144" hidden="1" customWidth="1"/>
    <col min="45" max="45" width="18.109375" style="144" hidden="1" customWidth="1"/>
    <col min="46" max="46" width="12.109375" style="50" hidden="1" customWidth="1"/>
    <col min="47" max="47" width="21.77734375" style="51" hidden="1" customWidth="1"/>
    <col min="48" max="48" width="9" style="51" hidden="1" customWidth="1"/>
    <col min="49" max="58" width="9" style="51"/>
    <col min="59" max="59" width="13.6640625" style="51" customWidth="1"/>
    <col min="60" max="62" width="9" style="51"/>
    <col min="63" max="63" width="5.21875" style="51" customWidth="1"/>
    <col min="64" max="66" width="9" style="51"/>
    <col min="67" max="67" width="2.88671875" style="51" customWidth="1"/>
    <col min="68" max="16384" width="9" style="51"/>
  </cols>
  <sheetData>
    <row r="1" spans="1:48" ht="34.5" customHeight="1">
      <c r="A1" s="314" t="s">
        <v>234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49"/>
      <c r="AK1" s="49"/>
      <c r="AL1" s="49"/>
      <c r="AM1" s="49"/>
    </row>
    <row r="2" spans="1:48" ht="34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</row>
    <row r="3" spans="1:48" ht="51.75" customHeight="1"/>
    <row r="4" spans="1:48" ht="15" customHeight="1">
      <c r="B4" s="196"/>
      <c r="C4" s="197"/>
      <c r="D4" s="197"/>
      <c r="E4" s="198"/>
      <c r="F4" s="199" t="s">
        <v>222</v>
      </c>
      <c r="G4" s="200"/>
      <c r="H4" s="200"/>
      <c r="I4" s="200"/>
      <c r="J4" s="200"/>
      <c r="K4" s="200"/>
    </row>
    <row r="5" spans="1:48" ht="15" customHeight="1">
      <c r="A5" s="50" t="s">
        <v>114</v>
      </c>
    </row>
    <row r="6" spans="1:48" ht="15" customHeight="1">
      <c r="B6" s="205" t="s">
        <v>115</v>
      </c>
      <c r="C6" s="206"/>
      <c r="D6" s="206"/>
      <c r="E6" s="206"/>
      <c r="F6" s="206"/>
      <c r="G6" s="206"/>
      <c r="H6" s="207"/>
      <c r="I6" s="211" t="s">
        <v>184</v>
      </c>
      <c r="J6" s="212"/>
      <c r="K6" s="212"/>
      <c r="L6" s="212"/>
      <c r="M6" s="212"/>
      <c r="N6" s="212"/>
      <c r="O6" s="212"/>
      <c r="P6" s="212"/>
      <c r="Q6" s="212"/>
      <c r="R6" s="213"/>
      <c r="S6" s="52" t="s">
        <v>186</v>
      </c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1:48" ht="15" customHeight="1">
      <c r="B7" s="315" t="str">
        <f>IF(I6="導入予定設備","様式 １－３　NO.","様式 １－４　NO.")</f>
        <v>様式 １－４　NO.</v>
      </c>
      <c r="C7" s="316"/>
      <c r="D7" s="316"/>
      <c r="E7" s="316"/>
      <c r="F7" s="316"/>
      <c r="G7" s="316"/>
      <c r="H7" s="317"/>
      <c r="I7" s="185"/>
      <c r="J7" s="186"/>
      <c r="K7" s="186"/>
      <c r="L7" s="186"/>
      <c r="M7" s="186"/>
      <c r="N7" s="186"/>
      <c r="O7" s="186"/>
      <c r="P7" s="186"/>
      <c r="Q7" s="186"/>
      <c r="R7" s="187"/>
      <c r="S7" s="52"/>
      <c r="T7" s="163" t="s">
        <v>187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1:48" ht="3" customHeight="1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5"/>
      <c r="U8" s="55"/>
      <c r="V8" s="55"/>
      <c r="W8" s="55"/>
      <c r="X8" s="55"/>
      <c r="Y8" s="55"/>
      <c r="Z8" s="55"/>
      <c r="AA8" s="55"/>
      <c r="AB8" s="131"/>
      <c r="AC8" s="131"/>
      <c r="AD8" s="131"/>
      <c r="AE8" s="131"/>
      <c r="AF8" s="55"/>
      <c r="AG8" s="55"/>
      <c r="AH8" s="55"/>
      <c r="AI8" s="55"/>
      <c r="AJ8" s="55"/>
      <c r="AK8" s="55"/>
    </row>
    <row r="9" spans="1:48" ht="15" customHeight="1">
      <c r="A9" s="50" t="s">
        <v>49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4"/>
      <c r="T9" s="54"/>
      <c r="U9" s="54"/>
      <c r="V9" s="54"/>
      <c r="W9" s="54"/>
      <c r="X9" s="54"/>
      <c r="Y9" s="54"/>
      <c r="Z9" s="54"/>
      <c r="AA9" s="54"/>
      <c r="AB9" s="131"/>
      <c r="AC9" s="131"/>
      <c r="AD9" s="131"/>
      <c r="AE9" s="131"/>
      <c r="AF9" s="54"/>
      <c r="AG9" s="54"/>
      <c r="AH9" s="54"/>
      <c r="AI9" s="54"/>
      <c r="AJ9" s="56"/>
    </row>
    <row r="10" spans="1:48" ht="15" customHeight="1">
      <c r="B10" s="202" t="s">
        <v>231</v>
      </c>
      <c r="C10" s="203"/>
      <c r="D10" s="203"/>
      <c r="E10" s="203"/>
      <c r="F10" s="203"/>
      <c r="G10" s="203"/>
      <c r="H10" s="204"/>
      <c r="I10" s="185" t="s">
        <v>235</v>
      </c>
      <c r="J10" s="186"/>
      <c r="K10" s="186"/>
      <c r="L10" s="186"/>
      <c r="M10" s="186"/>
      <c r="N10" s="186"/>
      <c r="O10" s="186"/>
      <c r="P10" s="186"/>
      <c r="Q10" s="186"/>
      <c r="R10" s="186"/>
      <c r="S10" s="52"/>
      <c r="T10" s="163" t="s">
        <v>232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O10" s="57" t="s">
        <v>117</v>
      </c>
      <c r="AP10" s="58" t="s">
        <v>141</v>
      </c>
      <c r="AQ10" s="59"/>
      <c r="AR10" s="59"/>
      <c r="AS10" s="59"/>
      <c r="AT10" s="51"/>
      <c r="AU10" s="60"/>
      <c r="AV10" s="60"/>
    </row>
    <row r="11" spans="1:48" ht="30" customHeight="1">
      <c r="B11" s="205" t="s">
        <v>51</v>
      </c>
      <c r="C11" s="206"/>
      <c r="D11" s="206"/>
      <c r="E11" s="206"/>
      <c r="F11" s="206"/>
      <c r="G11" s="206"/>
      <c r="H11" s="207"/>
      <c r="I11" s="208" t="s">
        <v>58</v>
      </c>
      <c r="J11" s="209"/>
      <c r="K11" s="209"/>
      <c r="L11" s="209"/>
      <c r="M11" s="209"/>
      <c r="N11" s="209"/>
      <c r="O11" s="209"/>
      <c r="P11" s="209"/>
      <c r="Q11" s="209"/>
      <c r="R11" s="210"/>
      <c r="S11" s="52"/>
      <c r="T11" s="163" t="s">
        <v>188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Q11" s="61"/>
      <c r="AR11" s="61"/>
    </row>
    <row r="12" spans="1:48" ht="15" customHeight="1">
      <c r="B12" s="214" t="s">
        <v>124</v>
      </c>
      <c r="C12" s="215"/>
      <c r="D12" s="215"/>
      <c r="E12" s="215"/>
      <c r="F12" s="215"/>
      <c r="G12" s="215"/>
      <c r="H12" s="216"/>
      <c r="I12" s="185" t="s">
        <v>82</v>
      </c>
      <c r="J12" s="186"/>
      <c r="K12" s="186"/>
      <c r="L12" s="186"/>
      <c r="M12" s="186"/>
      <c r="N12" s="186"/>
      <c r="O12" s="186"/>
      <c r="P12" s="186"/>
      <c r="Q12" s="186"/>
      <c r="R12" s="186"/>
      <c r="S12" s="52"/>
      <c r="T12" s="163" t="s">
        <v>189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</row>
    <row r="13" spans="1:48" ht="12" customHeight="1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6"/>
      <c r="AC13" s="56"/>
      <c r="AD13" s="56"/>
      <c r="AE13" s="56"/>
      <c r="AF13" s="51"/>
      <c r="AG13" s="51"/>
      <c r="AH13" s="51"/>
      <c r="AI13" s="51"/>
      <c r="AJ13" s="51"/>
    </row>
    <row r="14" spans="1:48" ht="15" customHeight="1">
      <c r="B14" s="201" t="s">
        <v>202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O14" s="50"/>
      <c r="AP14" s="50"/>
      <c r="AQ14" s="50"/>
      <c r="AR14" s="50"/>
      <c r="AS14" s="50"/>
    </row>
    <row r="15" spans="1:48" ht="15" customHeight="1">
      <c r="A15" s="50" t="s">
        <v>167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132"/>
      <c r="AC15" s="132"/>
      <c r="AD15" s="132"/>
      <c r="AE15" s="132"/>
      <c r="AF15" s="56"/>
      <c r="AG15" s="56"/>
      <c r="AH15" s="56"/>
      <c r="AI15" s="56"/>
      <c r="AJ15" s="56"/>
      <c r="AP15" s="144" t="s">
        <v>176</v>
      </c>
      <c r="AQ15" s="144" t="s">
        <v>177</v>
      </c>
    </row>
    <row r="16" spans="1:48" ht="15" customHeight="1">
      <c r="B16" s="226" t="s">
        <v>168</v>
      </c>
      <c r="C16" s="162"/>
      <c r="D16" s="162"/>
      <c r="E16" s="162" t="s">
        <v>0</v>
      </c>
      <c r="F16" s="162"/>
      <c r="G16" s="162"/>
      <c r="H16" s="162"/>
      <c r="I16" s="227">
        <v>1407</v>
      </c>
      <c r="J16" s="228"/>
      <c r="K16" s="228"/>
      <c r="L16" s="228"/>
      <c r="M16" s="228"/>
      <c r="N16" s="228"/>
      <c r="O16" s="228"/>
      <c r="P16" s="160" t="s">
        <v>52</v>
      </c>
      <c r="Q16" s="160"/>
      <c r="R16" s="161"/>
      <c r="S16" s="52"/>
      <c r="T16" s="163" t="s">
        <v>190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O16" s="62" t="s">
        <v>0</v>
      </c>
      <c r="AP16" s="63">
        <f>ROUNDDOWN(IF(P16="kW",I16,I16/860),1)</f>
        <v>1407</v>
      </c>
      <c r="AQ16" s="64">
        <f>ROUNDDOWN(IF($I$18="プロパン（い号）",AP16/AP18*0.9/0.92,AP16/AP18),1)</f>
        <v>1196.4000000000001</v>
      </c>
      <c r="AR16" s="65"/>
    </row>
    <row r="17" spans="1:52" ht="15" customHeight="1">
      <c r="B17" s="162"/>
      <c r="C17" s="162"/>
      <c r="D17" s="162"/>
      <c r="E17" s="162" t="s">
        <v>1</v>
      </c>
      <c r="F17" s="162"/>
      <c r="G17" s="162"/>
      <c r="H17" s="162"/>
      <c r="I17" s="164">
        <v>1177</v>
      </c>
      <c r="J17" s="165"/>
      <c r="K17" s="165"/>
      <c r="L17" s="165"/>
      <c r="M17" s="165"/>
      <c r="N17" s="165"/>
      <c r="O17" s="165"/>
      <c r="P17" s="166" t="s">
        <v>52</v>
      </c>
      <c r="Q17" s="166"/>
      <c r="R17" s="167"/>
      <c r="S17" s="52"/>
      <c r="T17" s="163" t="s">
        <v>190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O17" s="62" t="s">
        <v>1</v>
      </c>
      <c r="AP17" s="63">
        <f>ROUNDDOWN(IF(P17="kW",I17,I17/860),1)</f>
        <v>1177</v>
      </c>
      <c r="AQ17" s="64">
        <f>ROUNDDOWN(IF($I$18="プロパン（い号）",AP17/AQ18*0.9/0.92,AP17/AQ18),1)</f>
        <v>1352.8</v>
      </c>
      <c r="AR17" s="65"/>
    </row>
    <row r="18" spans="1:52" ht="15" customHeight="1">
      <c r="B18" s="154" t="s">
        <v>170</v>
      </c>
      <c r="C18" s="162"/>
      <c r="D18" s="162"/>
      <c r="E18" s="162"/>
      <c r="F18" s="162"/>
      <c r="G18" s="162"/>
      <c r="H18" s="162"/>
      <c r="I18" s="185" t="s">
        <v>54</v>
      </c>
      <c r="J18" s="186"/>
      <c r="K18" s="186"/>
      <c r="L18" s="186"/>
      <c r="M18" s="186"/>
      <c r="N18" s="186"/>
      <c r="O18" s="186"/>
      <c r="P18" s="186"/>
      <c r="Q18" s="186"/>
      <c r="R18" s="187"/>
      <c r="S18" s="52"/>
      <c r="T18" s="193" t="s">
        <v>229</v>
      </c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O18" s="66" t="s">
        <v>178</v>
      </c>
      <c r="AP18" s="67">
        <f>VLOOKUP(AP10&amp;E16&amp;AP23,'&lt;吸収式&gt;マスタ'!$R$6:$S$39,2,0)</f>
        <v>1.1759999999999999</v>
      </c>
      <c r="AQ18" s="68">
        <f>VLOOKUP(AP10&amp;E17&amp;AP23,'&lt;吸収式&gt;マスタ'!$R$6:$S$39,2,0)</f>
        <v>0.87</v>
      </c>
      <c r="AR18" s="69"/>
      <c r="AS18" s="70"/>
      <c r="AT18" s="70"/>
      <c r="AU18" s="71"/>
      <c r="AV18" s="71"/>
      <c r="AW18" s="71"/>
      <c r="AX18" s="71"/>
      <c r="AY18" s="71"/>
      <c r="AZ18" s="71"/>
    </row>
    <row r="19" spans="1:52" ht="15" customHeight="1">
      <c r="B19" s="72"/>
      <c r="C19" s="162" t="s">
        <v>203</v>
      </c>
      <c r="D19" s="162"/>
      <c r="E19" s="162"/>
      <c r="F19" s="162"/>
      <c r="G19" s="162"/>
      <c r="H19" s="162"/>
      <c r="I19" s="188">
        <f>VLOOKUP(I18,'&lt;吸収式&gt;マスタ'!F28:G31,2,0)</f>
        <v>45</v>
      </c>
      <c r="J19" s="188"/>
      <c r="K19" s="188"/>
      <c r="L19" s="188"/>
      <c r="M19" s="188"/>
      <c r="N19" s="188"/>
      <c r="O19" s="189"/>
      <c r="P19" s="190" t="s">
        <v>204</v>
      </c>
      <c r="Q19" s="191"/>
      <c r="R19" s="191"/>
      <c r="S19" s="73"/>
      <c r="T19" s="193" t="s">
        <v>230</v>
      </c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O19" s="74"/>
      <c r="AP19" s="74"/>
      <c r="AQ19" s="75"/>
      <c r="AR19" s="61"/>
    </row>
    <row r="20" spans="1:52" ht="3" customHeight="1">
      <c r="B20" s="140"/>
      <c r="C20" s="140"/>
      <c r="D20" s="140"/>
      <c r="E20" s="140"/>
      <c r="F20" s="140"/>
      <c r="G20" s="140"/>
      <c r="H20" s="140"/>
      <c r="I20" s="76"/>
      <c r="J20" s="76"/>
      <c r="K20" s="76"/>
      <c r="L20" s="76"/>
      <c r="M20" s="76"/>
      <c r="N20" s="76"/>
      <c r="O20" s="76"/>
      <c r="P20" s="140"/>
      <c r="Q20" s="140"/>
      <c r="R20" s="140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0"/>
      <c r="AO20" s="74"/>
      <c r="AP20" s="74"/>
      <c r="AQ20" s="75"/>
      <c r="AR20" s="61"/>
    </row>
    <row r="21" spans="1:52" ht="15" customHeight="1">
      <c r="A21" s="50" t="s">
        <v>169</v>
      </c>
      <c r="B21" s="140"/>
      <c r="C21" s="140"/>
      <c r="D21" s="140"/>
      <c r="E21" s="140"/>
      <c r="F21" s="140"/>
      <c r="G21" s="140"/>
      <c r="H21" s="140"/>
      <c r="I21" s="76"/>
      <c r="J21" s="76"/>
      <c r="K21" s="76"/>
      <c r="L21" s="76"/>
      <c r="M21" s="76"/>
      <c r="N21" s="76"/>
      <c r="O21" s="76"/>
      <c r="P21" s="140"/>
      <c r="Q21" s="140"/>
      <c r="R21" s="140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0"/>
      <c r="AO21" s="77" t="s">
        <v>157</v>
      </c>
      <c r="AP21" s="78">
        <f>VLOOKUP(I18,'&lt;吸収式&gt;マスタ'!$F$6:$G$13,2,0)</f>
        <v>10750</v>
      </c>
      <c r="AQ21" s="79" t="str">
        <f>VLOOKUP(I18,'&lt;吸収式&gt;マスタ'!$F$6:$H$13,3,0)</f>
        <v>kcal/㎥</v>
      </c>
      <c r="AR21" s="70"/>
    </row>
    <row r="22" spans="1:52" ht="30" customHeight="1">
      <c r="B22" s="202" t="s">
        <v>53</v>
      </c>
      <c r="C22" s="203"/>
      <c r="D22" s="203"/>
      <c r="E22" s="203"/>
      <c r="F22" s="203"/>
      <c r="G22" s="203"/>
      <c r="H22" s="204"/>
      <c r="I22" s="185" t="s">
        <v>3</v>
      </c>
      <c r="J22" s="186"/>
      <c r="K22" s="186"/>
      <c r="L22" s="186"/>
      <c r="M22" s="186"/>
      <c r="N22" s="186"/>
      <c r="O22" s="186"/>
      <c r="P22" s="186"/>
      <c r="Q22" s="186"/>
      <c r="R22" s="187"/>
      <c r="S22" s="52"/>
      <c r="T22" s="192" t="s">
        <v>225</v>
      </c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</row>
    <row r="23" spans="1:52" ht="15" customHeight="1">
      <c r="B23" s="205" t="s">
        <v>125</v>
      </c>
      <c r="C23" s="206"/>
      <c r="D23" s="206"/>
      <c r="E23" s="206"/>
      <c r="F23" s="206"/>
      <c r="G23" s="206"/>
      <c r="H23" s="207"/>
      <c r="I23" s="229" t="s">
        <v>244</v>
      </c>
      <c r="J23" s="230"/>
      <c r="K23" s="230"/>
      <c r="L23" s="230"/>
      <c r="M23" s="230"/>
      <c r="N23" s="230"/>
      <c r="O23" s="230"/>
      <c r="P23" s="230"/>
      <c r="Q23" s="230"/>
      <c r="R23" s="230"/>
      <c r="S23" s="52"/>
      <c r="T23" s="163" t="s">
        <v>191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O23" s="80" t="s">
        <v>63</v>
      </c>
      <c r="AP23" s="81">
        <f>VLOOKUP(I23,'&lt;吸収式&gt;マスタ'!U:V,2,0)</f>
        <v>2010</v>
      </c>
    </row>
    <row r="24" spans="1:52" ht="15" customHeight="1">
      <c r="B24" s="214" t="s">
        <v>116</v>
      </c>
      <c r="C24" s="215"/>
      <c r="D24" s="215"/>
      <c r="E24" s="215"/>
      <c r="F24" s="215"/>
      <c r="G24" s="215"/>
      <c r="H24" s="216"/>
      <c r="I24" s="321">
        <v>1</v>
      </c>
      <c r="J24" s="322"/>
      <c r="K24" s="322"/>
      <c r="L24" s="322"/>
      <c r="M24" s="322"/>
      <c r="N24" s="322"/>
      <c r="O24" s="323"/>
      <c r="P24" s="318" t="s">
        <v>226</v>
      </c>
      <c r="Q24" s="319"/>
      <c r="R24" s="320"/>
      <c r="S24" s="52"/>
      <c r="T24" s="163" t="s">
        <v>192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O24" s="61"/>
      <c r="AP24" s="82"/>
    </row>
    <row r="25" spans="1:52" ht="3" customHeight="1">
      <c r="B25" s="140"/>
      <c r="C25" s="140"/>
      <c r="D25" s="140"/>
      <c r="E25" s="140"/>
      <c r="F25" s="140"/>
      <c r="G25" s="140"/>
      <c r="H25" s="140"/>
      <c r="I25" s="83"/>
      <c r="J25" s="83"/>
      <c r="K25" s="83"/>
      <c r="L25" s="83"/>
      <c r="M25" s="83"/>
      <c r="N25" s="83"/>
      <c r="O25" s="83"/>
      <c r="P25" s="140"/>
      <c r="Q25" s="140"/>
      <c r="R25" s="140"/>
      <c r="S25" s="84"/>
      <c r="T25" s="84"/>
      <c r="U25" s="84"/>
      <c r="V25" s="84"/>
      <c r="W25" s="85"/>
      <c r="X25" s="85"/>
      <c r="Y25" s="85"/>
      <c r="Z25" s="85"/>
      <c r="AA25" s="85"/>
      <c r="AB25" s="133"/>
      <c r="AC25" s="133"/>
      <c r="AD25" s="133"/>
      <c r="AE25" s="133"/>
      <c r="AF25" s="85"/>
      <c r="AG25" s="85"/>
      <c r="AH25" s="84"/>
      <c r="AI25" s="84"/>
      <c r="AJ25" s="140"/>
    </row>
    <row r="26" spans="1:52" ht="15" customHeight="1">
      <c r="A26" s="50" t="s">
        <v>172</v>
      </c>
      <c r="B26" s="140"/>
      <c r="C26" s="140"/>
      <c r="D26" s="140"/>
      <c r="E26" s="140"/>
      <c r="F26" s="140"/>
      <c r="G26" s="140"/>
      <c r="H26" s="140"/>
      <c r="I26" s="86"/>
      <c r="J26" s="86"/>
      <c r="K26" s="86"/>
      <c r="L26" s="86"/>
      <c r="M26" s="86"/>
      <c r="N26" s="86"/>
      <c r="O26" s="86"/>
      <c r="P26" s="87"/>
      <c r="Q26" s="87"/>
      <c r="R26" s="87"/>
      <c r="S26" s="84"/>
      <c r="T26" s="84"/>
      <c r="U26" s="84"/>
      <c r="V26" s="84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4"/>
      <c r="AI26" s="84"/>
      <c r="AJ26" s="140"/>
    </row>
    <row r="27" spans="1:52" ht="16.5" customHeight="1">
      <c r="B27" s="194" t="s">
        <v>173</v>
      </c>
      <c r="C27" s="194"/>
      <c r="D27" s="194"/>
      <c r="E27" s="194"/>
      <c r="F27" s="194"/>
      <c r="G27" s="194"/>
      <c r="H27" s="194"/>
      <c r="I27" s="185" t="s">
        <v>106</v>
      </c>
      <c r="J27" s="186"/>
      <c r="K27" s="186"/>
      <c r="L27" s="186"/>
      <c r="M27" s="186"/>
      <c r="N27" s="186"/>
      <c r="O27" s="186"/>
      <c r="P27" s="186"/>
      <c r="Q27" s="186"/>
      <c r="R27" s="187"/>
      <c r="S27" s="52"/>
      <c r="T27" s="163" t="s">
        <v>193</v>
      </c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88"/>
      <c r="AM27" s="88"/>
    </row>
    <row r="28" spans="1:52" ht="15" customHeight="1">
      <c r="B28" s="162" t="s">
        <v>100</v>
      </c>
      <c r="C28" s="162"/>
      <c r="D28" s="162"/>
      <c r="E28" s="217" t="s">
        <v>126</v>
      </c>
      <c r="F28" s="217"/>
      <c r="G28" s="217"/>
      <c r="H28" s="217"/>
      <c r="I28" s="218" t="s">
        <v>135</v>
      </c>
      <c r="J28" s="219"/>
      <c r="K28" s="219"/>
      <c r="L28" s="219"/>
      <c r="M28" s="219"/>
      <c r="N28" s="219"/>
      <c r="O28" s="219"/>
      <c r="P28" s="219"/>
      <c r="Q28" s="219"/>
      <c r="R28" s="220"/>
      <c r="S28" s="52"/>
      <c r="T28" s="163" t="str">
        <f>IF(I27="該当","←「有り」「無し（一定値）」から選択","←入力不要")</f>
        <v>←「有り」「無し（一定値）」から選択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88"/>
      <c r="AM28" s="88"/>
      <c r="AO28" s="80" t="s">
        <v>126</v>
      </c>
      <c r="AP28" s="89">
        <f>IF($I$28="有り",0.5,1)</f>
        <v>0.5</v>
      </c>
    </row>
    <row r="29" spans="1:52" ht="30" customHeight="1">
      <c r="B29" s="162"/>
      <c r="C29" s="162"/>
      <c r="D29" s="162"/>
      <c r="E29" s="221" t="s">
        <v>136</v>
      </c>
      <c r="F29" s="222"/>
      <c r="G29" s="222"/>
      <c r="H29" s="222"/>
      <c r="I29" s="223">
        <v>90</v>
      </c>
      <c r="J29" s="224"/>
      <c r="K29" s="224"/>
      <c r="L29" s="224"/>
      <c r="M29" s="224"/>
      <c r="N29" s="224"/>
      <c r="O29" s="224"/>
      <c r="P29" s="225" t="s">
        <v>93</v>
      </c>
      <c r="Q29" s="225"/>
      <c r="R29" s="190"/>
      <c r="S29" s="52"/>
      <c r="T29" s="163" t="str">
        <f>IF(I27="該当","←水頭損失を入力（半角）","←入力不要")</f>
        <v>←水頭損失を入力（半角）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88"/>
      <c r="AM29" s="88"/>
      <c r="AO29" s="90" t="s">
        <v>165</v>
      </c>
      <c r="AP29" s="91">
        <f>ROUNDDOWN(1000*I30/3600*(I29+196)/0.8/0.93/1000,1)</f>
        <v>42.7</v>
      </c>
    </row>
    <row r="30" spans="1:52" ht="15" customHeight="1">
      <c r="B30" s="162"/>
      <c r="C30" s="162"/>
      <c r="D30" s="162"/>
      <c r="E30" s="162" t="s">
        <v>87</v>
      </c>
      <c r="F30" s="162"/>
      <c r="G30" s="162"/>
      <c r="H30" s="162"/>
      <c r="I30" s="223">
        <v>400</v>
      </c>
      <c r="J30" s="224"/>
      <c r="K30" s="224"/>
      <c r="L30" s="224"/>
      <c r="M30" s="224"/>
      <c r="N30" s="224"/>
      <c r="O30" s="224"/>
      <c r="P30" s="225" t="s">
        <v>233</v>
      </c>
      <c r="Q30" s="225"/>
      <c r="R30" s="190"/>
      <c r="S30" s="52"/>
      <c r="T30" s="163" t="str">
        <f>IF(I27="該当","←冷却水流量を入力（半角）","←入力不要")</f>
        <v>←冷却水流量を入力（半角）</v>
      </c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88"/>
      <c r="AM30" s="88"/>
      <c r="AO30" s="80" t="s">
        <v>94</v>
      </c>
      <c r="AP30" s="92">
        <f>ROUNDDOWN(AP29*AP28,2)</f>
        <v>21.35</v>
      </c>
    </row>
    <row r="31" spans="1:52" ht="3" customHeight="1">
      <c r="B31" s="93"/>
      <c r="C31" s="93"/>
      <c r="D31" s="93"/>
      <c r="E31" s="94"/>
      <c r="F31" s="94"/>
      <c r="G31" s="94"/>
      <c r="H31" s="94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40"/>
      <c r="T31" s="140"/>
      <c r="U31" s="140"/>
      <c r="V31" s="140"/>
      <c r="W31" s="96"/>
      <c r="X31" s="96"/>
      <c r="Y31" s="96"/>
      <c r="Z31" s="96"/>
      <c r="AA31" s="96"/>
      <c r="AB31" s="56"/>
      <c r="AC31" s="56"/>
      <c r="AD31" s="56"/>
      <c r="AE31" s="56"/>
      <c r="AF31" s="96"/>
      <c r="AG31" s="96"/>
      <c r="AH31" s="140"/>
      <c r="AI31" s="140"/>
      <c r="AJ31" s="140"/>
    </row>
    <row r="32" spans="1:52" ht="15" customHeight="1">
      <c r="A32" s="50" t="s">
        <v>171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128"/>
      <c r="AC32" s="128"/>
      <c r="AD32" s="128"/>
      <c r="AE32" s="128"/>
      <c r="AF32" s="246"/>
      <c r="AG32" s="246"/>
      <c r="AH32" s="246"/>
      <c r="AI32" s="246"/>
      <c r="AJ32" s="246"/>
    </row>
    <row r="33" spans="1:47" ht="30" customHeight="1">
      <c r="B33" s="231" t="s">
        <v>149</v>
      </c>
      <c r="C33" s="232"/>
      <c r="D33" s="233"/>
      <c r="E33" s="202" t="s">
        <v>55</v>
      </c>
      <c r="F33" s="204"/>
      <c r="G33" s="202" t="s">
        <v>13</v>
      </c>
      <c r="H33" s="203"/>
      <c r="I33" s="204"/>
      <c r="J33" s="240" t="s">
        <v>75</v>
      </c>
      <c r="K33" s="241"/>
      <c r="L33" s="242"/>
      <c r="M33" s="243" t="s">
        <v>128</v>
      </c>
      <c r="N33" s="244"/>
      <c r="O33" s="244"/>
      <c r="P33" s="245"/>
      <c r="Q33" s="202" t="s">
        <v>123</v>
      </c>
      <c r="R33" s="203"/>
      <c r="S33" s="204"/>
      <c r="T33" s="202" t="s">
        <v>107</v>
      </c>
      <c r="U33" s="203"/>
      <c r="V33" s="204"/>
      <c r="W33" s="202" t="s">
        <v>56</v>
      </c>
      <c r="X33" s="203"/>
      <c r="Y33" s="203"/>
      <c r="Z33" s="203"/>
      <c r="AA33" s="204"/>
      <c r="AB33" s="154" t="s">
        <v>246</v>
      </c>
      <c r="AC33" s="154"/>
      <c r="AD33" s="154"/>
      <c r="AE33" s="154"/>
    </row>
    <row r="34" spans="1:47" ht="15" customHeight="1" thickBot="1">
      <c r="B34" s="234"/>
      <c r="C34" s="235"/>
      <c r="D34" s="236"/>
      <c r="E34" s="214"/>
      <c r="F34" s="216"/>
      <c r="G34" s="214"/>
      <c r="H34" s="215"/>
      <c r="I34" s="216"/>
      <c r="J34" s="247" t="s">
        <v>158</v>
      </c>
      <c r="K34" s="248"/>
      <c r="L34" s="249"/>
      <c r="M34" s="250" t="s">
        <v>111</v>
      </c>
      <c r="N34" s="251"/>
      <c r="O34" s="251"/>
      <c r="P34" s="252"/>
      <c r="Q34" s="214"/>
      <c r="R34" s="215"/>
      <c r="S34" s="216"/>
      <c r="T34" s="250" t="s">
        <v>108</v>
      </c>
      <c r="U34" s="251"/>
      <c r="V34" s="252"/>
      <c r="W34" s="253" t="s">
        <v>248</v>
      </c>
      <c r="X34" s="254"/>
      <c r="Y34" s="254"/>
      <c r="Z34" s="254"/>
      <c r="AA34" s="255"/>
      <c r="AB34" s="155" t="s">
        <v>247</v>
      </c>
      <c r="AC34" s="155"/>
      <c r="AD34" s="155"/>
      <c r="AE34" s="155"/>
      <c r="AO34" s="80" t="s">
        <v>78</v>
      </c>
      <c r="AP34" s="89" t="s">
        <v>79</v>
      </c>
      <c r="AQ34" s="97"/>
      <c r="AR34" s="97"/>
      <c r="AS34" s="144" t="s">
        <v>166</v>
      </c>
    </row>
    <row r="35" spans="1:47" ht="15" customHeight="1" thickTop="1">
      <c r="B35" s="234"/>
      <c r="C35" s="235"/>
      <c r="D35" s="236"/>
      <c r="E35" s="183">
        <v>4</v>
      </c>
      <c r="F35" s="184"/>
      <c r="G35" s="180" t="str">
        <f>VLOOKUP(E35&amp;$I$22,'&lt;吸収式&gt;マスタ'!Z:AC,4,0)</f>
        <v>暖房</v>
      </c>
      <c r="H35" s="181"/>
      <c r="I35" s="182"/>
      <c r="J35" s="177">
        <f t="shared" ref="J35:J46" si="0">IF(G35="暖房",$AQ$17,$AQ$16)</f>
        <v>1352.8</v>
      </c>
      <c r="K35" s="178"/>
      <c r="L35" s="179"/>
      <c r="M35" s="174">
        <f t="shared" ref="M35:M46" si="1">IF(G35="暖房",AP35,AO35)</f>
        <v>0.16</v>
      </c>
      <c r="N35" s="175"/>
      <c r="O35" s="175"/>
      <c r="P35" s="176"/>
      <c r="Q35" s="171">
        <f>VLOOKUP(E35&amp;G35&amp;$I$22&amp;$I$6,'&lt;吸収式&gt;マスタ'!$AI$8:$AP$151,8,0)</f>
        <v>0.9</v>
      </c>
      <c r="R35" s="172"/>
      <c r="S35" s="173"/>
      <c r="T35" s="168">
        <v>300</v>
      </c>
      <c r="U35" s="169"/>
      <c r="V35" s="170"/>
      <c r="W35" s="256">
        <f>ROUNDDOWN(AS35*M35*T35*$I$24*'&lt;吸収式&gt;マスタ'!$F$21/$I$19,1)</f>
        <v>5771.9</v>
      </c>
      <c r="X35" s="257"/>
      <c r="Y35" s="257"/>
      <c r="Z35" s="257"/>
      <c r="AA35" s="258"/>
      <c r="AB35" s="156">
        <f>ROUNDDOWN(AS35*M35*T35*$I$24*'&lt;吸収式&gt;マスタ'!$F$21/$I$19,1)*VLOOKUP($I$18,'&lt;吸収式&gt;マスタ'!$F$28:$I$31,3,FALSE)</f>
        <v>5771.9</v>
      </c>
      <c r="AC35" s="157"/>
      <c r="AD35" s="157"/>
      <c r="AE35" s="158"/>
      <c r="AF35" s="324" t="s">
        <v>227</v>
      </c>
      <c r="AG35" s="325"/>
      <c r="AH35" s="325"/>
      <c r="AI35" s="325"/>
      <c r="AJ35" s="325"/>
      <c r="AK35" s="325"/>
      <c r="AL35" s="325"/>
      <c r="AO35" s="98">
        <f>VLOOKUP(E35&amp;$I$22,'&lt;吸収式&gt;マスタ'!$Z$8:$AB$31,2,0)</f>
        <v>0</v>
      </c>
      <c r="AP35" s="99">
        <f>VLOOKUP(E35&amp;$I$22,'&lt;吸収式&gt;マスタ'!$Z$8:$AB$31,3,0)</f>
        <v>0.16</v>
      </c>
      <c r="AQ35" s="100">
        <f>IF(G35="暖房",AP35,AO35)</f>
        <v>0.16</v>
      </c>
      <c r="AR35" s="100" t="str">
        <f>IF(AQ35=M35,"○","")</f>
        <v>○</v>
      </c>
      <c r="AS35" s="92">
        <f t="shared" ref="AS35:AS46" si="2">ROUNDDOWN(J35/Q35,1)</f>
        <v>1503.1</v>
      </c>
    </row>
    <row r="36" spans="1:47" ht="15" customHeight="1">
      <c r="B36" s="234"/>
      <c r="C36" s="235"/>
      <c r="D36" s="236"/>
      <c r="E36" s="183">
        <v>5</v>
      </c>
      <c r="F36" s="184"/>
      <c r="G36" s="180" t="str">
        <f>VLOOKUP(E36&amp;$I$22,'&lt;吸収式&gt;マスタ'!Z:AC,4,0)</f>
        <v>冷房</v>
      </c>
      <c r="H36" s="181"/>
      <c r="I36" s="182"/>
      <c r="J36" s="177">
        <f t="shared" si="0"/>
        <v>1196.4000000000001</v>
      </c>
      <c r="K36" s="178"/>
      <c r="L36" s="179"/>
      <c r="M36" s="174">
        <f t="shared" si="1"/>
        <v>0.29599999999999999</v>
      </c>
      <c r="N36" s="175"/>
      <c r="O36" s="175"/>
      <c r="P36" s="176"/>
      <c r="Q36" s="171">
        <f>VLOOKUP(E36&amp;G36&amp;$I$22&amp;$I$6,'&lt;吸収式&gt;マスタ'!$AI$8:$AP$151,8,0)</f>
        <v>0.93</v>
      </c>
      <c r="R36" s="172"/>
      <c r="S36" s="173"/>
      <c r="T36" s="168">
        <v>300</v>
      </c>
      <c r="U36" s="169"/>
      <c r="V36" s="170"/>
      <c r="W36" s="259">
        <f>ROUNDDOWN(AS36*M36*T36*$I$24*'&lt;吸収式&gt;マスタ'!$F$21/$I$19,1)</f>
        <v>9138.5</v>
      </c>
      <c r="X36" s="260"/>
      <c r="Y36" s="260"/>
      <c r="Z36" s="260"/>
      <c r="AA36" s="261"/>
      <c r="AB36" s="145">
        <f>ROUNDDOWN(AS36*M36*T36*$I$24*'&lt;吸収式&gt;マスタ'!$F$21/$I$19,1)*VLOOKUP($I$18,'&lt;吸収式&gt;マスタ'!$F$28:$I$31,3,FALSE)</f>
        <v>9138.5</v>
      </c>
      <c r="AC36" s="146"/>
      <c r="AD36" s="146"/>
      <c r="AE36" s="147"/>
      <c r="AF36" s="324"/>
      <c r="AG36" s="325"/>
      <c r="AH36" s="325"/>
      <c r="AI36" s="325"/>
      <c r="AJ36" s="325"/>
      <c r="AK36" s="325"/>
      <c r="AL36" s="325"/>
      <c r="AO36" s="98">
        <f>VLOOKUP(E36&amp;$I$22,'&lt;吸収式&gt;マスタ'!$Z$8:$AB$31,2,0)</f>
        <v>0.29599999999999999</v>
      </c>
      <c r="AP36" s="99">
        <f>VLOOKUP(E36&amp;$I$22,'&lt;吸収式&gt;マスタ'!$Z$8:$AB$31,3,0)</f>
        <v>0</v>
      </c>
      <c r="AQ36" s="100">
        <f t="shared" ref="AQ36:AQ46" si="3">IF(G36="暖房",AP36,AO36)</f>
        <v>0.29599999999999999</v>
      </c>
      <c r="AR36" s="100" t="str">
        <f t="shared" ref="AR36:AR46" si="4">IF(AQ36=M36,"○","")</f>
        <v>○</v>
      </c>
      <c r="AS36" s="92">
        <f t="shared" si="2"/>
        <v>1286.4000000000001</v>
      </c>
    </row>
    <row r="37" spans="1:47" ht="15" customHeight="1">
      <c r="B37" s="234"/>
      <c r="C37" s="235"/>
      <c r="D37" s="236"/>
      <c r="E37" s="183">
        <v>6</v>
      </c>
      <c r="F37" s="184"/>
      <c r="G37" s="180" t="str">
        <f>VLOOKUP(E37&amp;$I$22,'&lt;吸収式&gt;マスタ'!Z:AC,4,0)</f>
        <v>冷房</v>
      </c>
      <c r="H37" s="181"/>
      <c r="I37" s="182"/>
      <c r="J37" s="177">
        <f t="shared" si="0"/>
        <v>1196.4000000000001</v>
      </c>
      <c r="K37" s="178"/>
      <c r="L37" s="179"/>
      <c r="M37" s="174">
        <f t="shared" si="1"/>
        <v>0.435</v>
      </c>
      <c r="N37" s="175"/>
      <c r="O37" s="175"/>
      <c r="P37" s="176"/>
      <c r="Q37" s="171">
        <f>VLOOKUP(E37&amp;G37&amp;$I$22&amp;$I$6,'&lt;吸収式&gt;マスタ'!$AI$8:$AP$151,8,0)</f>
        <v>1.03</v>
      </c>
      <c r="R37" s="172"/>
      <c r="S37" s="173"/>
      <c r="T37" s="168">
        <v>300</v>
      </c>
      <c r="U37" s="169"/>
      <c r="V37" s="170"/>
      <c r="W37" s="259">
        <f>ROUNDDOWN(AS37*M37*T37*$I$24*'&lt;吸収式&gt;マスタ'!$F$21/$I$19,1)</f>
        <v>12126</v>
      </c>
      <c r="X37" s="260"/>
      <c r="Y37" s="260"/>
      <c r="Z37" s="260"/>
      <c r="AA37" s="261"/>
      <c r="AB37" s="145">
        <f>ROUNDDOWN(AS37*M37*T37*$I$24*'&lt;吸収式&gt;マスタ'!$F$21/$I$19,1)*VLOOKUP($I$18,'&lt;吸収式&gt;マスタ'!$F$28:$I$31,3,FALSE)</f>
        <v>12126</v>
      </c>
      <c r="AC37" s="146"/>
      <c r="AD37" s="146"/>
      <c r="AE37" s="147"/>
      <c r="AF37" s="262"/>
      <c r="AG37" s="263"/>
      <c r="AH37" s="263"/>
      <c r="AI37" s="263"/>
      <c r="AJ37" s="263"/>
      <c r="AO37" s="98">
        <f>VLOOKUP(E37&amp;$I$22,'&lt;吸収式&gt;マスタ'!$Z$8:$AB$31,2,0)</f>
        <v>0.435</v>
      </c>
      <c r="AP37" s="99">
        <f>VLOOKUP(E37&amp;$I$22,'&lt;吸収式&gt;マスタ'!$Z$8:$AB$31,3,0)</f>
        <v>0</v>
      </c>
      <c r="AQ37" s="100">
        <f t="shared" si="3"/>
        <v>0.435</v>
      </c>
      <c r="AR37" s="100" t="str">
        <f t="shared" si="4"/>
        <v>○</v>
      </c>
      <c r="AS37" s="92">
        <f t="shared" si="2"/>
        <v>1161.5</v>
      </c>
    </row>
    <row r="38" spans="1:47" ht="15" customHeight="1">
      <c r="B38" s="234"/>
      <c r="C38" s="235"/>
      <c r="D38" s="236"/>
      <c r="E38" s="183">
        <v>7</v>
      </c>
      <c r="F38" s="184"/>
      <c r="G38" s="180" t="str">
        <f>VLOOKUP(E38&amp;$I$22,'&lt;吸収式&gt;マスタ'!Z:AC,4,0)</f>
        <v>冷房</v>
      </c>
      <c r="H38" s="181"/>
      <c r="I38" s="182"/>
      <c r="J38" s="177">
        <f t="shared" si="0"/>
        <v>1196.4000000000001</v>
      </c>
      <c r="K38" s="178"/>
      <c r="L38" s="179"/>
      <c r="M38" s="174">
        <f t="shared" si="1"/>
        <v>0.64100000000000001</v>
      </c>
      <c r="N38" s="175"/>
      <c r="O38" s="175"/>
      <c r="P38" s="176"/>
      <c r="Q38" s="171">
        <f>VLOOKUP(E38&amp;G38&amp;$I$22&amp;$I$6,'&lt;吸収式&gt;マスタ'!$AI$8:$AP$151,8,0)</f>
        <v>1.02</v>
      </c>
      <c r="R38" s="172"/>
      <c r="S38" s="173"/>
      <c r="T38" s="168">
        <v>300</v>
      </c>
      <c r="U38" s="169"/>
      <c r="V38" s="170"/>
      <c r="W38" s="259">
        <f>ROUNDDOWN(AS38*M38*T38*$I$24*'&lt;吸収式&gt;マスタ'!$F$21/$I$19,1)</f>
        <v>18043.8</v>
      </c>
      <c r="X38" s="260"/>
      <c r="Y38" s="260"/>
      <c r="Z38" s="260"/>
      <c r="AA38" s="261"/>
      <c r="AB38" s="145">
        <f>ROUNDDOWN(AS38*M38*T38*$I$24*'&lt;吸収式&gt;マスタ'!$F$21/$I$19,1)*VLOOKUP($I$18,'&lt;吸収式&gt;マスタ'!$F$28:$I$31,3,FALSE)</f>
        <v>18043.8</v>
      </c>
      <c r="AC38" s="146"/>
      <c r="AD38" s="146"/>
      <c r="AE38" s="147"/>
      <c r="AF38" s="324" t="s">
        <v>237</v>
      </c>
      <c r="AG38" s="325"/>
      <c r="AH38" s="325"/>
      <c r="AI38" s="325"/>
      <c r="AJ38" s="325"/>
      <c r="AK38" s="325"/>
      <c r="AL38" s="325"/>
      <c r="AO38" s="98">
        <f>VLOOKUP(E38&amp;$I$22,'&lt;吸収式&gt;マスタ'!$Z$8:$AB$31,2,0)</f>
        <v>0.64100000000000001</v>
      </c>
      <c r="AP38" s="99">
        <f>VLOOKUP(E38&amp;$I$22,'&lt;吸収式&gt;マスタ'!$Z$8:$AB$31,3,0)</f>
        <v>0</v>
      </c>
      <c r="AQ38" s="100">
        <f t="shared" si="3"/>
        <v>0.64100000000000001</v>
      </c>
      <c r="AR38" s="100" t="str">
        <f t="shared" si="4"/>
        <v>○</v>
      </c>
      <c r="AS38" s="92">
        <f t="shared" si="2"/>
        <v>1172.9000000000001</v>
      </c>
    </row>
    <row r="39" spans="1:47" ht="15" customHeight="1">
      <c r="B39" s="234"/>
      <c r="C39" s="235"/>
      <c r="D39" s="236"/>
      <c r="E39" s="183">
        <v>8</v>
      </c>
      <c r="F39" s="184"/>
      <c r="G39" s="180" t="str">
        <f>VLOOKUP(E39&amp;$I$22,'&lt;吸収式&gt;マスタ'!Z:AC,4,0)</f>
        <v>冷房</v>
      </c>
      <c r="H39" s="181"/>
      <c r="I39" s="182"/>
      <c r="J39" s="177">
        <f t="shared" si="0"/>
        <v>1196.4000000000001</v>
      </c>
      <c r="K39" s="178"/>
      <c r="L39" s="179"/>
      <c r="M39" s="174">
        <f t="shared" si="1"/>
        <v>0.69299999999999995</v>
      </c>
      <c r="N39" s="175"/>
      <c r="O39" s="175"/>
      <c r="P39" s="176"/>
      <c r="Q39" s="171">
        <f>VLOOKUP(E39&amp;G39&amp;$I$22&amp;$I$6,'&lt;吸収式&gt;マスタ'!$AI$8:$AP$151,8,0)</f>
        <v>1.01</v>
      </c>
      <c r="R39" s="172"/>
      <c r="S39" s="173"/>
      <c r="T39" s="168">
        <v>300</v>
      </c>
      <c r="U39" s="169"/>
      <c r="V39" s="170"/>
      <c r="W39" s="259">
        <f>ROUNDDOWN(AS39*M39*T39*$I$24*'&lt;吸収式&gt;マスタ'!$F$21/$I$19,1)</f>
        <v>19700.599999999999</v>
      </c>
      <c r="X39" s="260"/>
      <c r="Y39" s="260"/>
      <c r="Z39" s="260"/>
      <c r="AA39" s="261"/>
      <c r="AB39" s="145">
        <f>ROUNDDOWN(AS39*M39*T39*$I$24*'&lt;吸収式&gt;マスタ'!$F$21/$I$19,1)*VLOOKUP($I$18,'&lt;吸収式&gt;マスタ'!$F$28:$I$31,3,FALSE)</f>
        <v>19700.599999999999</v>
      </c>
      <c r="AC39" s="146"/>
      <c r="AD39" s="146"/>
      <c r="AE39" s="147"/>
      <c r="AF39" s="324"/>
      <c r="AG39" s="325"/>
      <c r="AH39" s="325"/>
      <c r="AI39" s="325"/>
      <c r="AJ39" s="325"/>
      <c r="AK39" s="325"/>
      <c r="AL39" s="325"/>
      <c r="AO39" s="98">
        <f>VLOOKUP(E39&amp;$I$22,'&lt;吸収式&gt;マスタ'!$Z$8:$AB$31,2,0)</f>
        <v>0.69299999999999995</v>
      </c>
      <c r="AP39" s="99">
        <f>VLOOKUP(E39&amp;$I$22,'&lt;吸収式&gt;マスタ'!$Z$8:$AB$31,3,0)</f>
        <v>0</v>
      </c>
      <c r="AQ39" s="100">
        <f t="shared" si="3"/>
        <v>0.69299999999999995</v>
      </c>
      <c r="AR39" s="100" t="str">
        <f t="shared" si="4"/>
        <v>○</v>
      </c>
      <c r="AS39" s="92">
        <f t="shared" si="2"/>
        <v>1184.5</v>
      </c>
    </row>
    <row r="40" spans="1:47" ht="15" customHeight="1">
      <c r="B40" s="234"/>
      <c r="C40" s="235"/>
      <c r="D40" s="236"/>
      <c r="E40" s="183">
        <v>9</v>
      </c>
      <c r="F40" s="184"/>
      <c r="G40" s="180" t="str">
        <f>VLOOKUP(E40&amp;$I$22,'&lt;吸収式&gt;マスタ'!Z:AC,4,0)</f>
        <v>冷房</v>
      </c>
      <c r="H40" s="181"/>
      <c r="I40" s="182"/>
      <c r="J40" s="177">
        <f t="shared" si="0"/>
        <v>1196.4000000000001</v>
      </c>
      <c r="K40" s="178"/>
      <c r="L40" s="179"/>
      <c r="M40" s="174">
        <f t="shared" si="1"/>
        <v>0.47</v>
      </c>
      <c r="N40" s="175"/>
      <c r="O40" s="175"/>
      <c r="P40" s="176"/>
      <c r="Q40" s="171">
        <f>VLOOKUP(E40&amp;G40&amp;$I$22&amp;$I$6,'&lt;吸収式&gt;マスタ'!$AI$8:$AP$151,8,0)</f>
        <v>1.03</v>
      </c>
      <c r="R40" s="172"/>
      <c r="S40" s="173"/>
      <c r="T40" s="168">
        <v>300</v>
      </c>
      <c r="U40" s="169"/>
      <c r="V40" s="170"/>
      <c r="W40" s="259">
        <f>ROUNDDOWN(AS40*M40*T40*$I$24*'&lt;吸収式&gt;マスタ'!$F$21/$I$19,1)</f>
        <v>13101.7</v>
      </c>
      <c r="X40" s="260"/>
      <c r="Y40" s="260"/>
      <c r="Z40" s="260"/>
      <c r="AA40" s="261"/>
      <c r="AB40" s="145">
        <f>ROUNDDOWN(AS40*M40*T40*$I$24*'&lt;吸収式&gt;マスタ'!$F$21/$I$19,1)*VLOOKUP($I$18,'&lt;吸収式&gt;マスタ'!$F$28:$I$31,3,FALSE)</f>
        <v>13101.7</v>
      </c>
      <c r="AC40" s="146"/>
      <c r="AD40" s="146"/>
      <c r="AE40" s="147"/>
      <c r="AF40" s="324"/>
      <c r="AG40" s="325"/>
      <c r="AH40" s="325"/>
      <c r="AI40" s="325"/>
      <c r="AJ40" s="325"/>
      <c r="AK40" s="325"/>
      <c r="AL40" s="325"/>
      <c r="AO40" s="98">
        <f>VLOOKUP(E40&amp;$I$22,'&lt;吸収式&gt;マスタ'!$Z$8:$AB$31,2,0)</f>
        <v>0.47</v>
      </c>
      <c r="AP40" s="99">
        <f>VLOOKUP(E40&amp;$I$22,'&lt;吸収式&gt;マスタ'!$Z$8:$AB$31,3,0)</f>
        <v>0</v>
      </c>
      <c r="AQ40" s="100">
        <f t="shared" si="3"/>
        <v>0.47</v>
      </c>
      <c r="AR40" s="100" t="str">
        <f t="shared" si="4"/>
        <v>○</v>
      </c>
      <c r="AS40" s="92">
        <f t="shared" si="2"/>
        <v>1161.5</v>
      </c>
    </row>
    <row r="41" spans="1:47" ht="15" customHeight="1">
      <c r="B41" s="234"/>
      <c r="C41" s="235"/>
      <c r="D41" s="236"/>
      <c r="E41" s="183">
        <v>10</v>
      </c>
      <c r="F41" s="184"/>
      <c r="G41" s="180" t="str">
        <f>VLOOKUP(E41&amp;$I$22,'&lt;吸収式&gt;マスタ'!Z:AC,4,0)</f>
        <v>冷房</v>
      </c>
      <c r="H41" s="181"/>
      <c r="I41" s="182"/>
      <c r="J41" s="177">
        <f t="shared" si="0"/>
        <v>1196.4000000000001</v>
      </c>
      <c r="K41" s="178"/>
      <c r="L41" s="179"/>
      <c r="M41" s="174">
        <f t="shared" si="1"/>
        <v>0.36399999999999999</v>
      </c>
      <c r="N41" s="175"/>
      <c r="O41" s="175"/>
      <c r="P41" s="176"/>
      <c r="Q41" s="171">
        <f>VLOOKUP(E41&amp;G41&amp;$I$22&amp;$I$6,'&lt;吸収式&gt;マスタ'!$AI$8:$AP$151,8,0)</f>
        <v>1.03</v>
      </c>
      <c r="R41" s="172"/>
      <c r="S41" s="173"/>
      <c r="T41" s="168">
        <v>300</v>
      </c>
      <c r="U41" s="169"/>
      <c r="V41" s="170"/>
      <c r="W41" s="259">
        <f>ROUNDDOWN(AS41*M41*T41*$I$24*'&lt;吸収式&gt;マスタ'!$F$21/$I$19,1)</f>
        <v>10146.799999999999</v>
      </c>
      <c r="X41" s="260"/>
      <c r="Y41" s="260"/>
      <c r="Z41" s="260"/>
      <c r="AA41" s="261"/>
      <c r="AB41" s="145">
        <f>ROUNDDOWN(AS41*M41*T41*$I$24*'&lt;吸収式&gt;マスタ'!$F$21/$I$19,1)*VLOOKUP($I$18,'&lt;吸収式&gt;マスタ'!$F$28:$I$31,3,FALSE)</f>
        <v>10146.799999999999</v>
      </c>
      <c r="AC41" s="146"/>
      <c r="AD41" s="146"/>
      <c r="AE41" s="147"/>
      <c r="AF41" s="324"/>
      <c r="AG41" s="325"/>
      <c r="AH41" s="325"/>
      <c r="AI41" s="325"/>
      <c r="AJ41" s="325"/>
      <c r="AK41" s="325"/>
      <c r="AL41" s="325"/>
      <c r="AO41" s="98">
        <f>VLOOKUP(E41&amp;$I$22,'&lt;吸収式&gt;マスタ'!$Z$8:$AB$31,2,0)</f>
        <v>0.36399999999999999</v>
      </c>
      <c r="AP41" s="99">
        <f>VLOOKUP(E41&amp;$I$22,'&lt;吸収式&gt;マスタ'!$Z$8:$AB$31,3,0)</f>
        <v>0</v>
      </c>
      <c r="AQ41" s="100">
        <f t="shared" si="3"/>
        <v>0.36399999999999999</v>
      </c>
      <c r="AR41" s="100" t="str">
        <f t="shared" si="4"/>
        <v>○</v>
      </c>
      <c r="AS41" s="92">
        <f t="shared" si="2"/>
        <v>1161.5</v>
      </c>
      <c r="AT41" s="51"/>
    </row>
    <row r="42" spans="1:47" ht="15" customHeight="1">
      <c r="B42" s="234"/>
      <c r="C42" s="235"/>
      <c r="D42" s="236"/>
      <c r="E42" s="183">
        <v>11</v>
      </c>
      <c r="F42" s="184"/>
      <c r="G42" s="180" t="str">
        <f>VLOOKUP(E42&amp;$I$22,'&lt;吸収式&gt;マスタ'!Z:AC,4,0)</f>
        <v>暖房</v>
      </c>
      <c r="H42" s="181"/>
      <c r="I42" s="182"/>
      <c r="J42" s="177">
        <f t="shared" si="0"/>
        <v>1352.8</v>
      </c>
      <c r="K42" s="178"/>
      <c r="L42" s="179"/>
      <c r="M42" s="174">
        <f t="shared" si="1"/>
        <v>0.154</v>
      </c>
      <c r="N42" s="175"/>
      <c r="O42" s="175"/>
      <c r="P42" s="176"/>
      <c r="Q42" s="171">
        <f>VLOOKUP(E42&amp;G42&amp;$I$22&amp;$I$6,'&lt;吸収式&gt;マスタ'!$AI$8:$AP$151,8,0)</f>
        <v>0.9</v>
      </c>
      <c r="R42" s="172"/>
      <c r="S42" s="173"/>
      <c r="T42" s="168">
        <v>300</v>
      </c>
      <c r="U42" s="169"/>
      <c r="V42" s="170"/>
      <c r="W42" s="259">
        <f>ROUNDDOWN(AS42*M42*T42*$I$24*'&lt;吸収式&gt;マスタ'!$F$21/$I$19,1)</f>
        <v>5555.4</v>
      </c>
      <c r="X42" s="260"/>
      <c r="Y42" s="260"/>
      <c r="Z42" s="260"/>
      <c r="AA42" s="261"/>
      <c r="AB42" s="145">
        <f>ROUNDDOWN(AS42*M42*T42*$I$24*'&lt;吸収式&gt;マスタ'!$F$21/$I$19,1)*VLOOKUP($I$18,'&lt;吸収式&gt;マスタ'!$F$28:$I$31,3,FALSE)</f>
        <v>5555.4</v>
      </c>
      <c r="AC42" s="146"/>
      <c r="AD42" s="146"/>
      <c r="AE42" s="147"/>
      <c r="AF42" s="262"/>
      <c r="AG42" s="263"/>
      <c r="AH42" s="263"/>
      <c r="AI42" s="263"/>
      <c r="AJ42" s="263"/>
      <c r="AO42" s="98">
        <f>VLOOKUP(E42&amp;$I$22,'&lt;吸収式&gt;マスタ'!$Z$8:$AB$31,2,0)</f>
        <v>0</v>
      </c>
      <c r="AP42" s="99">
        <f>VLOOKUP(E42&amp;$I$22,'&lt;吸収式&gt;マスタ'!$Z$8:$AB$31,3,0)</f>
        <v>0.154</v>
      </c>
      <c r="AQ42" s="100">
        <f t="shared" si="3"/>
        <v>0.154</v>
      </c>
      <c r="AR42" s="100" t="str">
        <f t="shared" si="4"/>
        <v>○</v>
      </c>
      <c r="AS42" s="92">
        <f t="shared" si="2"/>
        <v>1503.1</v>
      </c>
    </row>
    <row r="43" spans="1:47" ht="15" customHeight="1">
      <c r="B43" s="234"/>
      <c r="C43" s="235"/>
      <c r="D43" s="236"/>
      <c r="E43" s="183">
        <v>12</v>
      </c>
      <c r="F43" s="184"/>
      <c r="G43" s="180" t="str">
        <f>VLOOKUP(E43&amp;$I$22,'&lt;吸収式&gt;マスタ'!Z:AC,4,0)</f>
        <v>暖房</v>
      </c>
      <c r="H43" s="181"/>
      <c r="I43" s="182"/>
      <c r="J43" s="177">
        <f t="shared" si="0"/>
        <v>1352.8</v>
      </c>
      <c r="K43" s="178"/>
      <c r="L43" s="179"/>
      <c r="M43" s="174">
        <f t="shared" si="1"/>
        <v>0.371</v>
      </c>
      <c r="N43" s="175"/>
      <c r="O43" s="175"/>
      <c r="P43" s="176"/>
      <c r="Q43" s="171">
        <f>VLOOKUP(E43&amp;G43&amp;$I$22&amp;$I$6,'&lt;吸収式&gt;マスタ'!$AI$8:$AP$151,8,0)</f>
        <v>1</v>
      </c>
      <c r="R43" s="172"/>
      <c r="S43" s="173"/>
      <c r="T43" s="168">
        <v>300</v>
      </c>
      <c r="U43" s="169"/>
      <c r="V43" s="170"/>
      <c r="W43" s="259">
        <f>ROUNDDOWN(AS43*M43*T43*$I$24*'&lt;吸収式&gt;マスタ'!$F$21/$I$19,1)</f>
        <v>12045.3</v>
      </c>
      <c r="X43" s="260"/>
      <c r="Y43" s="260"/>
      <c r="Z43" s="260"/>
      <c r="AA43" s="261"/>
      <c r="AB43" s="145">
        <f>ROUNDDOWN(AS43*M43*T43*$I$24*'&lt;吸収式&gt;マスタ'!$F$21/$I$19,1)*VLOOKUP($I$18,'&lt;吸収式&gt;マスタ'!$F$28:$I$31,3,FALSE)</f>
        <v>12045.3</v>
      </c>
      <c r="AC43" s="146"/>
      <c r="AD43" s="146"/>
      <c r="AE43" s="147"/>
      <c r="AF43" s="324" t="s">
        <v>228</v>
      </c>
      <c r="AG43" s="325"/>
      <c r="AH43" s="325"/>
      <c r="AI43" s="325"/>
      <c r="AJ43" s="325"/>
      <c r="AK43" s="325"/>
      <c r="AL43" s="325"/>
      <c r="AO43" s="98">
        <f>VLOOKUP(E43&amp;$I$22,'&lt;吸収式&gt;マスタ'!$Z$8:$AB$31,2,0)</f>
        <v>0</v>
      </c>
      <c r="AP43" s="99">
        <f>VLOOKUP(E43&amp;$I$22,'&lt;吸収式&gt;マスタ'!$Z$8:$AB$31,3,0)</f>
        <v>0.371</v>
      </c>
      <c r="AQ43" s="100">
        <f t="shared" si="3"/>
        <v>0.371</v>
      </c>
      <c r="AR43" s="100" t="str">
        <f t="shared" si="4"/>
        <v>○</v>
      </c>
      <c r="AS43" s="92">
        <f t="shared" si="2"/>
        <v>1352.8</v>
      </c>
      <c r="AT43" s="51"/>
    </row>
    <row r="44" spans="1:47" ht="15" customHeight="1">
      <c r="B44" s="234"/>
      <c r="C44" s="235"/>
      <c r="D44" s="236"/>
      <c r="E44" s="183">
        <v>1</v>
      </c>
      <c r="F44" s="184"/>
      <c r="G44" s="180" t="str">
        <f>VLOOKUP(E44&amp;$I$22,'&lt;吸収式&gt;マスタ'!Z:AC,4,0)</f>
        <v>暖房</v>
      </c>
      <c r="H44" s="181"/>
      <c r="I44" s="182"/>
      <c r="J44" s="177">
        <f t="shared" si="0"/>
        <v>1352.8</v>
      </c>
      <c r="K44" s="178"/>
      <c r="L44" s="179"/>
      <c r="M44" s="174">
        <f t="shared" si="1"/>
        <v>0.56200000000000006</v>
      </c>
      <c r="N44" s="175"/>
      <c r="O44" s="175"/>
      <c r="P44" s="176"/>
      <c r="Q44" s="171">
        <f>VLOOKUP(E44&amp;G44&amp;$I$22&amp;$I$6,'&lt;吸収式&gt;マスタ'!$AI$8:$AP$151,8,0)</f>
        <v>1</v>
      </c>
      <c r="R44" s="172"/>
      <c r="S44" s="173"/>
      <c r="T44" s="168">
        <v>300</v>
      </c>
      <c r="U44" s="169"/>
      <c r="V44" s="170"/>
      <c r="W44" s="259">
        <f>ROUNDDOWN(AS44*M44*T44*$I$24*'&lt;吸収式&gt;マスタ'!$F$21/$I$19,1)</f>
        <v>18246.5</v>
      </c>
      <c r="X44" s="260"/>
      <c r="Y44" s="260"/>
      <c r="Z44" s="260"/>
      <c r="AA44" s="261"/>
      <c r="AB44" s="145">
        <f>ROUNDDOWN(AS44*M44*T44*$I$24*'&lt;吸収式&gt;マスタ'!$F$21/$I$19,1)*VLOOKUP($I$18,'&lt;吸収式&gt;マスタ'!$F$28:$I$31,3,FALSE)</f>
        <v>18246.5</v>
      </c>
      <c r="AC44" s="146"/>
      <c r="AD44" s="146"/>
      <c r="AE44" s="147"/>
      <c r="AF44" s="324"/>
      <c r="AG44" s="325"/>
      <c r="AH44" s="325"/>
      <c r="AI44" s="325"/>
      <c r="AJ44" s="325"/>
      <c r="AK44" s="325"/>
      <c r="AL44" s="325"/>
      <c r="AO44" s="98">
        <f>VLOOKUP(E44&amp;$I$22,'&lt;吸収式&gt;マスタ'!$Z$8:$AB$31,2,0)</f>
        <v>0</v>
      </c>
      <c r="AP44" s="99">
        <f>VLOOKUP(E44&amp;$I$22,'&lt;吸収式&gt;マスタ'!$Z$8:$AB$31,3,0)</f>
        <v>0.56200000000000006</v>
      </c>
      <c r="AQ44" s="100">
        <f t="shared" si="3"/>
        <v>0.56200000000000006</v>
      </c>
      <c r="AR44" s="100" t="str">
        <f t="shared" si="4"/>
        <v>○</v>
      </c>
      <c r="AS44" s="92">
        <f t="shared" si="2"/>
        <v>1352.8</v>
      </c>
    </row>
    <row r="45" spans="1:47" ht="15" customHeight="1">
      <c r="A45" s="101"/>
      <c r="B45" s="234"/>
      <c r="C45" s="235"/>
      <c r="D45" s="236"/>
      <c r="E45" s="183">
        <v>2</v>
      </c>
      <c r="F45" s="184"/>
      <c r="G45" s="180" t="str">
        <f>VLOOKUP(E45&amp;$I$22,'&lt;吸収式&gt;マスタ'!Z:AC,4,0)</f>
        <v>暖房</v>
      </c>
      <c r="H45" s="181"/>
      <c r="I45" s="182"/>
      <c r="J45" s="177">
        <f t="shared" si="0"/>
        <v>1352.8</v>
      </c>
      <c r="K45" s="178"/>
      <c r="L45" s="179"/>
      <c r="M45" s="174">
        <f t="shared" si="1"/>
        <v>0.56200000000000006</v>
      </c>
      <c r="N45" s="175"/>
      <c r="O45" s="175"/>
      <c r="P45" s="176"/>
      <c r="Q45" s="171">
        <f>VLOOKUP(E45&amp;G45&amp;$I$22&amp;$I$6,'&lt;吸収式&gt;マスタ'!$AI$8:$AP$151,8,0)</f>
        <v>1</v>
      </c>
      <c r="R45" s="172"/>
      <c r="S45" s="173"/>
      <c r="T45" s="168">
        <v>300</v>
      </c>
      <c r="U45" s="169"/>
      <c r="V45" s="170"/>
      <c r="W45" s="259">
        <f>ROUNDDOWN(AS45*M45*T45*$I$24*'&lt;吸収式&gt;マスタ'!$F$21/$I$19,1)</f>
        <v>18246.5</v>
      </c>
      <c r="X45" s="260"/>
      <c r="Y45" s="260"/>
      <c r="Z45" s="260"/>
      <c r="AA45" s="261"/>
      <c r="AB45" s="145">
        <f>ROUNDDOWN(AS45*M45*T45*$I$24*'&lt;吸収式&gt;マスタ'!$F$21/$I$19,1)*VLOOKUP($I$18,'&lt;吸収式&gt;マスタ'!$F$28:$I$31,3,FALSE)</f>
        <v>18246.5</v>
      </c>
      <c r="AC45" s="146"/>
      <c r="AD45" s="146"/>
      <c r="AE45" s="147"/>
      <c r="AF45" s="262"/>
      <c r="AG45" s="263"/>
      <c r="AH45" s="263"/>
      <c r="AI45" s="263"/>
      <c r="AJ45" s="263"/>
      <c r="AO45" s="98">
        <f>VLOOKUP(E45&amp;$I$22,'&lt;吸収式&gt;マスタ'!$Z$8:$AB$31,2,0)</f>
        <v>0</v>
      </c>
      <c r="AP45" s="99">
        <f>VLOOKUP(E45&amp;$I$22,'&lt;吸収式&gt;マスタ'!$Z$8:$AB$31,3,0)</f>
        <v>0.56200000000000006</v>
      </c>
      <c r="AQ45" s="100">
        <f t="shared" si="3"/>
        <v>0.56200000000000006</v>
      </c>
      <c r="AR45" s="100" t="str">
        <f t="shared" si="4"/>
        <v>○</v>
      </c>
      <c r="AS45" s="92">
        <f t="shared" si="2"/>
        <v>1352.8</v>
      </c>
    </row>
    <row r="46" spans="1:47" ht="15" customHeight="1" thickBot="1">
      <c r="A46" s="101"/>
      <c r="B46" s="234"/>
      <c r="C46" s="235"/>
      <c r="D46" s="236"/>
      <c r="E46" s="337">
        <v>3</v>
      </c>
      <c r="F46" s="338"/>
      <c r="G46" s="339" t="str">
        <f>VLOOKUP(E46&amp;$I$22,'&lt;吸収式&gt;マスタ'!Z:AC,4,0)</f>
        <v>暖房</v>
      </c>
      <c r="H46" s="340"/>
      <c r="I46" s="341"/>
      <c r="J46" s="342">
        <f t="shared" si="0"/>
        <v>1352.8</v>
      </c>
      <c r="K46" s="312"/>
      <c r="L46" s="343"/>
      <c r="M46" s="344">
        <f t="shared" si="1"/>
        <v>0.27300000000000002</v>
      </c>
      <c r="N46" s="345"/>
      <c r="O46" s="345"/>
      <c r="P46" s="346"/>
      <c r="Q46" s="347">
        <f>VLOOKUP(E46&amp;G46&amp;$I$22&amp;$I$6,'&lt;吸収式&gt;マスタ'!$AI$8:$AP$151,8,0)</f>
        <v>0.9</v>
      </c>
      <c r="R46" s="348"/>
      <c r="S46" s="349"/>
      <c r="T46" s="350">
        <v>300</v>
      </c>
      <c r="U46" s="351"/>
      <c r="V46" s="351"/>
      <c r="W46" s="278">
        <f>ROUNDDOWN(AS46*M46*T46*$I$24*'&lt;吸収式&gt;マスタ'!$F$21/$I$19,1)</f>
        <v>9848.2999999999993</v>
      </c>
      <c r="X46" s="279"/>
      <c r="Y46" s="279"/>
      <c r="Z46" s="279"/>
      <c r="AA46" s="280"/>
      <c r="AB46" s="148">
        <f>ROUNDDOWN(AS46*M46*T46*$I$24*'&lt;吸収式&gt;マスタ'!$F$21/$I$19,1)*VLOOKUP($I$18,'&lt;吸収式&gt;マスタ'!$F$28:$I$31,3,FALSE)</f>
        <v>9848.2999999999993</v>
      </c>
      <c r="AC46" s="149"/>
      <c r="AD46" s="149"/>
      <c r="AE46" s="150"/>
      <c r="AF46" s="325" t="s">
        <v>245</v>
      </c>
      <c r="AG46" s="325"/>
      <c r="AH46" s="325"/>
      <c r="AI46" s="325"/>
      <c r="AJ46" s="325"/>
      <c r="AK46" s="325"/>
      <c r="AL46" s="325"/>
      <c r="AO46" s="98">
        <f>VLOOKUP(E46&amp;$I$22,'&lt;吸収式&gt;マスタ'!$Z$8:$AB$31,2,0)</f>
        <v>0</v>
      </c>
      <c r="AP46" s="99">
        <f>VLOOKUP(E46&amp;$I$22,'&lt;吸収式&gt;マスタ'!$Z$8:$AB$31,3,0)</f>
        <v>0.27300000000000002</v>
      </c>
      <c r="AQ46" s="100">
        <f t="shared" si="3"/>
        <v>0.27300000000000002</v>
      </c>
      <c r="AR46" s="100" t="str">
        <f t="shared" si="4"/>
        <v>○</v>
      </c>
      <c r="AS46" s="92">
        <f t="shared" si="2"/>
        <v>1503.1</v>
      </c>
    </row>
    <row r="47" spans="1:47" ht="15" customHeight="1" thickTop="1" thickBot="1">
      <c r="A47" s="101"/>
      <c r="B47" s="237"/>
      <c r="C47" s="238"/>
      <c r="D47" s="239"/>
      <c r="E47" s="282" t="s">
        <v>57</v>
      </c>
      <c r="F47" s="326"/>
      <c r="G47" s="138"/>
      <c r="H47" s="139"/>
      <c r="I47" s="139"/>
      <c r="J47" s="327" t="s">
        <v>88</v>
      </c>
      <c r="K47" s="328"/>
      <c r="L47" s="329"/>
      <c r="M47" s="330" t="s">
        <v>88</v>
      </c>
      <c r="N47" s="331"/>
      <c r="O47" s="331"/>
      <c r="P47" s="332"/>
      <c r="Q47" s="289" t="s">
        <v>88</v>
      </c>
      <c r="R47" s="290"/>
      <c r="S47" s="333"/>
      <c r="T47" s="289">
        <f>SUM(T35:V46)</f>
        <v>3600</v>
      </c>
      <c r="U47" s="290"/>
      <c r="V47" s="290"/>
      <c r="W47" s="334">
        <f>SUM(W35:AA46)</f>
        <v>151971.29999999999</v>
      </c>
      <c r="X47" s="335"/>
      <c r="Y47" s="335"/>
      <c r="Z47" s="335"/>
      <c r="AA47" s="336"/>
      <c r="AB47" s="151">
        <f>SUM(AB35:AE46)</f>
        <v>151971.29999999999</v>
      </c>
      <c r="AC47" s="152"/>
      <c r="AD47" s="152"/>
      <c r="AE47" s="153"/>
      <c r="AF47" s="325"/>
      <c r="AG47" s="325"/>
      <c r="AH47" s="325"/>
      <c r="AI47" s="325"/>
      <c r="AJ47" s="325"/>
      <c r="AK47" s="325"/>
      <c r="AL47" s="325"/>
      <c r="AO47" s="51"/>
      <c r="AP47" s="51"/>
      <c r="AR47" s="144">
        <f>COUNTIF(AR35:AR46,"○")</f>
        <v>12</v>
      </c>
      <c r="AS47" s="51"/>
    </row>
    <row r="48" spans="1:47" s="103" customFormat="1" ht="15" customHeight="1" thickTop="1">
      <c r="A48" s="50"/>
      <c r="B48" s="102" t="str">
        <f>IF(AR47=12,"指定負荷率使用","")</f>
        <v>指定負荷率使用</v>
      </c>
      <c r="C48" s="97"/>
      <c r="D48" s="97"/>
      <c r="E48" s="97"/>
      <c r="F48" s="97"/>
      <c r="G48" s="281" t="s">
        <v>239</v>
      </c>
      <c r="H48" s="281"/>
      <c r="I48" s="281"/>
      <c r="J48" s="281"/>
      <c r="K48" s="281"/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56"/>
      <c r="AC48" s="56"/>
      <c r="AD48" s="56"/>
      <c r="AE48" s="56"/>
      <c r="AF48" s="325"/>
      <c r="AG48" s="325"/>
      <c r="AH48" s="325"/>
      <c r="AI48" s="325"/>
      <c r="AJ48" s="325"/>
      <c r="AK48" s="325"/>
      <c r="AL48" s="325"/>
      <c r="AM48" s="50"/>
      <c r="AN48" s="50"/>
      <c r="AO48" s="144"/>
      <c r="AP48" s="144"/>
      <c r="AQ48" s="144"/>
      <c r="AR48" s="144"/>
      <c r="AS48" s="144"/>
      <c r="AT48" s="50"/>
      <c r="AU48" s="51"/>
    </row>
    <row r="49" spans="1:47" ht="15" customHeight="1">
      <c r="A49" s="101"/>
      <c r="B49" s="159"/>
      <c r="C49" s="159"/>
      <c r="D49" s="88"/>
      <c r="E49" s="88"/>
      <c r="F49" s="88"/>
      <c r="G49" s="281"/>
      <c r="H49" s="281"/>
      <c r="I49" s="281"/>
      <c r="J49" s="281"/>
      <c r="K49" s="281"/>
      <c r="L49" s="281"/>
      <c r="M49" s="281"/>
      <c r="N49" s="281"/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  <c r="AA49" s="281"/>
      <c r="AB49" s="134"/>
      <c r="AC49" s="134"/>
      <c r="AD49" s="134"/>
      <c r="AE49" s="134"/>
      <c r="AF49" s="325"/>
      <c r="AG49" s="325"/>
      <c r="AH49" s="325"/>
      <c r="AI49" s="325"/>
      <c r="AJ49" s="325"/>
      <c r="AK49" s="325"/>
      <c r="AL49" s="325"/>
    </row>
    <row r="50" spans="1:47" ht="3" customHeight="1">
      <c r="B50" s="56"/>
      <c r="C50" s="56"/>
      <c r="D50" s="56"/>
      <c r="E50" s="104"/>
      <c r="F50" s="104"/>
      <c r="G50" s="104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105"/>
      <c r="V50" s="105"/>
      <c r="W50" s="106"/>
      <c r="X50" s="106"/>
      <c r="Y50" s="106"/>
      <c r="Z50" s="106"/>
      <c r="AA50" s="106"/>
      <c r="AB50" s="135"/>
      <c r="AC50" s="135"/>
      <c r="AD50" s="135"/>
      <c r="AE50" s="135"/>
      <c r="AF50" s="325"/>
      <c r="AG50" s="325"/>
      <c r="AH50" s="325"/>
      <c r="AI50" s="325"/>
      <c r="AJ50" s="325"/>
      <c r="AK50" s="325"/>
      <c r="AL50" s="325"/>
      <c r="AO50" s="51"/>
      <c r="AP50" s="51"/>
      <c r="AS50" s="51"/>
    </row>
    <row r="51" spans="1:47" ht="15" customHeight="1">
      <c r="A51" s="50" t="s">
        <v>179</v>
      </c>
      <c r="B51" s="107"/>
      <c r="C51" s="107"/>
      <c r="D51" s="107"/>
      <c r="E51" s="107"/>
      <c r="F51" s="107"/>
      <c r="G51" s="107"/>
      <c r="H51" s="107"/>
      <c r="I51" s="108"/>
      <c r="J51" s="108"/>
      <c r="K51" s="108"/>
      <c r="L51" s="108"/>
      <c r="M51" s="56"/>
      <c r="N51" s="56"/>
      <c r="O51" s="56"/>
      <c r="P51" s="107"/>
      <c r="Q51" s="107"/>
      <c r="R51" s="107"/>
      <c r="S51" s="107"/>
      <c r="T51" s="107"/>
      <c r="U51" s="109"/>
      <c r="V51" s="109"/>
      <c r="W51" s="110"/>
      <c r="X51" s="110"/>
      <c r="Y51" s="110"/>
      <c r="Z51" s="110"/>
      <c r="AA51" s="110"/>
      <c r="AB51" s="135"/>
      <c r="AC51" s="135"/>
      <c r="AD51" s="137"/>
      <c r="AE51" s="137"/>
      <c r="AF51" s="107"/>
      <c r="AG51" s="107"/>
      <c r="AH51" s="107"/>
      <c r="AI51" s="107"/>
      <c r="AJ51" s="107"/>
      <c r="AO51" s="51"/>
      <c r="AP51" s="51"/>
      <c r="AS51" s="51"/>
    </row>
    <row r="52" spans="1:47" ht="15" customHeight="1">
      <c r="B52" s="231" t="s">
        <v>91</v>
      </c>
      <c r="C52" s="232"/>
      <c r="D52" s="233"/>
      <c r="E52" s="202" t="s">
        <v>55</v>
      </c>
      <c r="F52" s="204"/>
      <c r="G52" s="202" t="s">
        <v>13</v>
      </c>
      <c r="H52" s="203"/>
      <c r="I52" s="204"/>
      <c r="J52" s="202" t="s">
        <v>94</v>
      </c>
      <c r="K52" s="203"/>
      <c r="L52" s="203"/>
      <c r="M52" s="203"/>
      <c r="N52" s="203"/>
      <c r="O52" s="203"/>
      <c r="P52" s="203"/>
      <c r="Q52" s="203"/>
      <c r="R52" s="203"/>
      <c r="S52" s="204"/>
      <c r="T52" s="295" t="s">
        <v>107</v>
      </c>
      <c r="U52" s="296"/>
      <c r="V52" s="297"/>
      <c r="W52" s="298" t="s">
        <v>110</v>
      </c>
      <c r="X52" s="299"/>
      <c r="Y52" s="299"/>
      <c r="Z52" s="299"/>
      <c r="AA52" s="300"/>
      <c r="AB52" s="135"/>
      <c r="AC52" s="135"/>
      <c r="AD52" s="137"/>
      <c r="AE52" s="137"/>
      <c r="AF52" s="301"/>
      <c r="AG52" s="301"/>
      <c r="AH52" s="301"/>
      <c r="AI52" s="301"/>
      <c r="AJ52" s="301"/>
      <c r="AO52" s="51"/>
      <c r="AP52" s="51"/>
      <c r="AS52" s="51"/>
    </row>
    <row r="53" spans="1:47" ht="15" customHeight="1" thickBot="1">
      <c r="B53" s="234"/>
      <c r="C53" s="235"/>
      <c r="D53" s="236"/>
      <c r="E53" s="214"/>
      <c r="F53" s="216"/>
      <c r="G53" s="214"/>
      <c r="H53" s="215"/>
      <c r="I53" s="216"/>
      <c r="J53" s="214" t="s">
        <v>109</v>
      </c>
      <c r="K53" s="215"/>
      <c r="L53" s="215"/>
      <c r="M53" s="215"/>
      <c r="N53" s="215"/>
      <c r="O53" s="215"/>
      <c r="P53" s="215"/>
      <c r="Q53" s="215"/>
      <c r="R53" s="215"/>
      <c r="S53" s="216"/>
      <c r="T53" s="302" t="s">
        <v>127</v>
      </c>
      <c r="U53" s="303"/>
      <c r="V53" s="304"/>
      <c r="W53" s="305" t="s">
        <v>112</v>
      </c>
      <c r="X53" s="306"/>
      <c r="Y53" s="306"/>
      <c r="Z53" s="306"/>
      <c r="AA53" s="307"/>
      <c r="AB53" s="135"/>
      <c r="AC53" s="135"/>
      <c r="AD53" s="137"/>
      <c r="AE53" s="137"/>
      <c r="AF53" s="308"/>
      <c r="AG53" s="308"/>
      <c r="AH53" s="308"/>
      <c r="AI53" s="308"/>
      <c r="AJ53" s="308"/>
      <c r="AO53" s="51"/>
      <c r="AP53" s="51"/>
      <c r="AS53" s="51"/>
    </row>
    <row r="54" spans="1:47" ht="15" customHeight="1" thickTop="1">
      <c r="B54" s="234"/>
      <c r="C54" s="235"/>
      <c r="D54" s="236"/>
      <c r="E54" s="183">
        <v>4</v>
      </c>
      <c r="F54" s="264"/>
      <c r="G54" s="265" t="str">
        <f>G35</f>
        <v>暖房</v>
      </c>
      <c r="H54" s="266"/>
      <c r="I54" s="266"/>
      <c r="J54" s="267">
        <f t="shared" ref="J54:J65" si="5">IF(G54="冷房",$AP$30,0)</f>
        <v>0</v>
      </c>
      <c r="K54" s="268"/>
      <c r="L54" s="268"/>
      <c r="M54" s="268"/>
      <c r="N54" s="268"/>
      <c r="O54" s="268"/>
      <c r="P54" s="268"/>
      <c r="Q54" s="268"/>
      <c r="R54" s="268"/>
      <c r="S54" s="269"/>
      <c r="T54" s="270">
        <f t="shared" ref="T54:T65" si="6">T35</f>
        <v>300</v>
      </c>
      <c r="U54" s="271"/>
      <c r="V54" s="271"/>
      <c r="W54" s="272">
        <f t="shared" ref="W54:W65" si="7">ROUNDDOWN(J54*T54*$I$24,1)</f>
        <v>0</v>
      </c>
      <c r="X54" s="273"/>
      <c r="Y54" s="273"/>
      <c r="Z54" s="273"/>
      <c r="AA54" s="274"/>
      <c r="AB54" s="135"/>
      <c r="AC54" s="135"/>
      <c r="AD54" s="137"/>
      <c r="AE54" s="137"/>
      <c r="AF54" s="275"/>
      <c r="AG54" s="275"/>
      <c r="AH54" s="275"/>
      <c r="AI54" s="275"/>
      <c r="AJ54" s="275"/>
      <c r="AO54" s="51"/>
      <c r="AP54" s="51"/>
      <c r="AS54" s="51"/>
    </row>
    <row r="55" spans="1:47" ht="15" customHeight="1">
      <c r="B55" s="234"/>
      <c r="C55" s="235"/>
      <c r="D55" s="236"/>
      <c r="E55" s="183">
        <v>5</v>
      </c>
      <c r="F55" s="264"/>
      <c r="G55" s="265" t="str">
        <f t="shared" ref="G55:G65" si="8">G36</f>
        <v>冷房</v>
      </c>
      <c r="H55" s="266"/>
      <c r="I55" s="266"/>
      <c r="J55" s="267">
        <f t="shared" si="5"/>
        <v>21.35</v>
      </c>
      <c r="K55" s="268"/>
      <c r="L55" s="268"/>
      <c r="M55" s="268"/>
      <c r="N55" s="268"/>
      <c r="O55" s="268"/>
      <c r="P55" s="268"/>
      <c r="Q55" s="268"/>
      <c r="R55" s="268"/>
      <c r="S55" s="269"/>
      <c r="T55" s="270">
        <f t="shared" si="6"/>
        <v>300</v>
      </c>
      <c r="U55" s="271"/>
      <c r="V55" s="271"/>
      <c r="W55" s="276">
        <f t="shared" si="7"/>
        <v>6405</v>
      </c>
      <c r="X55" s="178"/>
      <c r="Y55" s="178"/>
      <c r="Z55" s="178"/>
      <c r="AA55" s="277"/>
      <c r="AB55" s="135"/>
      <c r="AC55" s="135"/>
      <c r="AD55" s="137"/>
      <c r="AE55" s="137"/>
      <c r="AF55" s="275"/>
      <c r="AG55" s="275"/>
      <c r="AH55" s="275"/>
      <c r="AI55" s="275"/>
      <c r="AJ55" s="275"/>
      <c r="AO55" s="51"/>
      <c r="AP55" s="51"/>
      <c r="AS55" s="51"/>
    </row>
    <row r="56" spans="1:47" ht="15" customHeight="1">
      <c r="B56" s="234"/>
      <c r="C56" s="235"/>
      <c r="D56" s="236"/>
      <c r="E56" s="183">
        <v>6</v>
      </c>
      <c r="F56" s="264"/>
      <c r="G56" s="265" t="str">
        <f t="shared" si="8"/>
        <v>冷房</v>
      </c>
      <c r="H56" s="266"/>
      <c r="I56" s="266"/>
      <c r="J56" s="267">
        <f t="shared" si="5"/>
        <v>21.35</v>
      </c>
      <c r="K56" s="268"/>
      <c r="L56" s="268"/>
      <c r="M56" s="268"/>
      <c r="N56" s="268"/>
      <c r="O56" s="268"/>
      <c r="P56" s="268"/>
      <c r="Q56" s="268"/>
      <c r="R56" s="268"/>
      <c r="S56" s="269"/>
      <c r="T56" s="270">
        <f t="shared" si="6"/>
        <v>300</v>
      </c>
      <c r="U56" s="271"/>
      <c r="V56" s="271"/>
      <c r="W56" s="276">
        <f t="shared" si="7"/>
        <v>6405</v>
      </c>
      <c r="X56" s="178"/>
      <c r="Y56" s="178"/>
      <c r="Z56" s="178"/>
      <c r="AA56" s="277"/>
      <c r="AB56" s="135"/>
      <c r="AC56" s="135"/>
      <c r="AD56" s="137"/>
      <c r="AE56" s="137"/>
      <c r="AF56" s="275"/>
      <c r="AG56" s="275"/>
      <c r="AH56" s="275"/>
      <c r="AI56" s="275"/>
      <c r="AJ56" s="275"/>
      <c r="AO56" s="51"/>
      <c r="AP56" s="51"/>
      <c r="AS56" s="51"/>
    </row>
    <row r="57" spans="1:47" ht="15" customHeight="1">
      <c r="B57" s="234"/>
      <c r="C57" s="235"/>
      <c r="D57" s="236"/>
      <c r="E57" s="183">
        <v>7</v>
      </c>
      <c r="F57" s="264"/>
      <c r="G57" s="265" t="str">
        <f t="shared" si="8"/>
        <v>冷房</v>
      </c>
      <c r="H57" s="266"/>
      <c r="I57" s="266"/>
      <c r="J57" s="267">
        <f t="shared" si="5"/>
        <v>21.35</v>
      </c>
      <c r="K57" s="268"/>
      <c r="L57" s="268"/>
      <c r="M57" s="268"/>
      <c r="N57" s="268"/>
      <c r="O57" s="268"/>
      <c r="P57" s="268"/>
      <c r="Q57" s="268"/>
      <c r="R57" s="268"/>
      <c r="S57" s="269"/>
      <c r="T57" s="270">
        <f t="shared" si="6"/>
        <v>300</v>
      </c>
      <c r="U57" s="271"/>
      <c r="V57" s="271"/>
      <c r="W57" s="276">
        <f t="shared" si="7"/>
        <v>6405</v>
      </c>
      <c r="X57" s="178"/>
      <c r="Y57" s="178"/>
      <c r="Z57" s="178"/>
      <c r="AA57" s="277"/>
      <c r="AB57" s="135"/>
      <c r="AC57" s="135"/>
      <c r="AD57" s="137"/>
      <c r="AE57" s="137"/>
      <c r="AF57" s="275"/>
      <c r="AG57" s="275"/>
      <c r="AH57" s="275"/>
      <c r="AI57" s="275"/>
      <c r="AJ57" s="275"/>
      <c r="AO57" s="51"/>
      <c r="AP57" s="51"/>
      <c r="AS57" s="51"/>
    </row>
    <row r="58" spans="1:47" ht="15" customHeight="1">
      <c r="B58" s="234"/>
      <c r="C58" s="235"/>
      <c r="D58" s="236"/>
      <c r="E58" s="183">
        <v>8</v>
      </c>
      <c r="F58" s="264"/>
      <c r="G58" s="265" t="str">
        <f t="shared" si="8"/>
        <v>冷房</v>
      </c>
      <c r="H58" s="266"/>
      <c r="I58" s="266"/>
      <c r="J58" s="267">
        <f t="shared" si="5"/>
        <v>21.35</v>
      </c>
      <c r="K58" s="268"/>
      <c r="L58" s="268"/>
      <c r="M58" s="268"/>
      <c r="N58" s="268"/>
      <c r="O58" s="268"/>
      <c r="P58" s="268"/>
      <c r="Q58" s="268"/>
      <c r="R58" s="268"/>
      <c r="S58" s="269"/>
      <c r="T58" s="270">
        <f t="shared" si="6"/>
        <v>300</v>
      </c>
      <c r="U58" s="271"/>
      <c r="V58" s="271"/>
      <c r="W58" s="276">
        <f t="shared" si="7"/>
        <v>6405</v>
      </c>
      <c r="X58" s="178"/>
      <c r="Y58" s="178"/>
      <c r="Z58" s="178"/>
      <c r="AA58" s="277"/>
      <c r="AB58" s="135"/>
      <c r="AC58" s="135"/>
      <c r="AD58" s="137"/>
      <c r="AE58" s="137"/>
      <c r="AF58" s="275"/>
      <c r="AG58" s="275"/>
      <c r="AH58" s="275"/>
      <c r="AI58" s="275"/>
      <c r="AJ58" s="275"/>
      <c r="AO58" s="51"/>
      <c r="AP58" s="51"/>
      <c r="AS58" s="51"/>
    </row>
    <row r="59" spans="1:47" ht="15" customHeight="1">
      <c r="B59" s="234"/>
      <c r="C59" s="235"/>
      <c r="D59" s="236"/>
      <c r="E59" s="183">
        <v>9</v>
      </c>
      <c r="F59" s="264"/>
      <c r="G59" s="265" t="str">
        <f t="shared" si="8"/>
        <v>冷房</v>
      </c>
      <c r="H59" s="266"/>
      <c r="I59" s="266"/>
      <c r="J59" s="267">
        <f t="shared" si="5"/>
        <v>21.35</v>
      </c>
      <c r="K59" s="268"/>
      <c r="L59" s="268"/>
      <c r="M59" s="268"/>
      <c r="N59" s="268"/>
      <c r="O59" s="268"/>
      <c r="P59" s="268"/>
      <c r="Q59" s="268"/>
      <c r="R59" s="268"/>
      <c r="S59" s="269"/>
      <c r="T59" s="270">
        <f t="shared" si="6"/>
        <v>300</v>
      </c>
      <c r="U59" s="271"/>
      <c r="V59" s="271"/>
      <c r="W59" s="276">
        <f t="shared" si="7"/>
        <v>6405</v>
      </c>
      <c r="X59" s="178"/>
      <c r="Y59" s="178"/>
      <c r="Z59" s="178"/>
      <c r="AA59" s="277"/>
      <c r="AB59" s="135"/>
      <c r="AC59" s="135"/>
      <c r="AD59" s="137"/>
      <c r="AE59" s="137"/>
      <c r="AF59" s="275"/>
      <c r="AG59" s="275"/>
      <c r="AH59" s="275"/>
      <c r="AI59" s="275"/>
      <c r="AJ59" s="275"/>
      <c r="AO59" s="51"/>
      <c r="AP59" s="51"/>
      <c r="AS59" s="51"/>
    </row>
    <row r="60" spans="1:47" ht="15" customHeight="1">
      <c r="B60" s="234"/>
      <c r="C60" s="235"/>
      <c r="D60" s="236"/>
      <c r="E60" s="183">
        <v>10</v>
      </c>
      <c r="F60" s="264"/>
      <c r="G60" s="265" t="str">
        <f t="shared" si="8"/>
        <v>冷房</v>
      </c>
      <c r="H60" s="266"/>
      <c r="I60" s="266"/>
      <c r="J60" s="267">
        <f t="shared" si="5"/>
        <v>21.35</v>
      </c>
      <c r="K60" s="268"/>
      <c r="L60" s="268"/>
      <c r="M60" s="268"/>
      <c r="N60" s="268"/>
      <c r="O60" s="268"/>
      <c r="P60" s="268"/>
      <c r="Q60" s="268"/>
      <c r="R60" s="268"/>
      <c r="S60" s="269"/>
      <c r="T60" s="270">
        <f t="shared" si="6"/>
        <v>300</v>
      </c>
      <c r="U60" s="271"/>
      <c r="V60" s="271"/>
      <c r="W60" s="276">
        <f t="shared" si="7"/>
        <v>6405</v>
      </c>
      <c r="X60" s="178"/>
      <c r="Y60" s="178"/>
      <c r="Z60" s="178"/>
      <c r="AA60" s="277"/>
      <c r="AB60" s="135"/>
      <c r="AC60" s="135"/>
      <c r="AD60" s="137"/>
      <c r="AE60" s="137"/>
      <c r="AF60" s="275"/>
      <c r="AG60" s="275"/>
      <c r="AH60" s="275"/>
      <c r="AI60" s="275"/>
      <c r="AJ60" s="275"/>
    </row>
    <row r="61" spans="1:47" s="103" customFormat="1" ht="15" customHeight="1">
      <c r="A61" s="50"/>
      <c r="B61" s="234"/>
      <c r="C61" s="235"/>
      <c r="D61" s="236"/>
      <c r="E61" s="183">
        <v>11</v>
      </c>
      <c r="F61" s="264"/>
      <c r="G61" s="265" t="str">
        <f t="shared" si="8"/>
        <v>暖房</v>
      </c>
      <c r="H61" s="266"/>
      <c r="I61" s="266"/>
      <c r="J61" s="267">
        <f t="shared" si="5"/>
        <v>0</v>
      </c>
      <c r="K61" s="268"/>
      <c r="L61" s="268"/>
      <c r="M61" s="268"/>
      <c r="N61" s="268"/>
      <c r="O61" s="268"/>
      <c r="P61" s="268"/>
      <c r="Q61" s="268"/>
      <c r="R61" s="268"/>
      <c r="S61" s="269"/>
      <c r="T61" s="270">
        <f t="shared" si="6"/>
        <v>300</v>
      </c>
      <c r="U61" s="271"/>
      <c r="V61" s="271"/>
      <c r="W61" s="276">
        <f t="shared" si="7"/>
        <v>0</v>
      </c>
      <c r="X61" s="178"/>
      <c r="Y61" s="178"/>
      <c r="Z61" s="178"/>
      <c r="AA61" s="277"/>
      <c r="AB61" s="135"/>
      <c r="AC61" s="135"/>
      <c r="AD61" s="137"/>
      <c r="AE61" s="137"/>
      <c r="AF61" s="275"/>
      <c r="AG61" s="275"/>
      <c r="AH61" s="275"/>
      <c r="AI61" s="275"/>
      <c r="AJ61" s="275"/>
      <c r="AK61" s="50"/>
      <c r="AL61" s="50"/>
      <c r="AM61" s="50"/>
      <c r="AN61" s="50"/>
      <c r="AO61" s="144"/>
      <c r="AP61" s="144"/>
      <c r="AQ61" s="144"/>
      <c r="AR61" s="144"/>
      <c r="AS61" s="144"/>
      <c r="AT61" s="50"/>
      <c r="AU61" s="51"/>
    </row>
    <row r="62" spans="1:47" s="103" customFormat="1" ht="15" customHeight="1">
      <c r="A62" s="50"/>
      <c r="B62" s="234"/>
      <c r="C62" s="235"/>
      <c r="D62" s="236"/>
      <c r="E62" s="183">
        <v>12</v>
      </c>
      <c r="F62" s="264"/>
      <c r="G62" s="265" t="str">
        <f t="shared" si="8"/>
        <v>暖房</v>
      </c>
      <c r="H62" s="266"/>
      <c r="I62" s="266"/>
      <c r="J62" s="267">
        <f t="shared" si="5"/>
        <v>0</v>
      </c>
      <c r="K62" s="268"/>
      <c r="L62" s="268"/>
      <c r="M62" s="268"/>
      <c r="N62" s="268"/>
      <c r="O62" s="268"/>
      <c r="P62" s="268"/>
      <c r="Q62" s="268"/>
      <c r="R62" s="268"/>
      <c r="S62" s="269"/>
      <c r="T62" s="270">
        <f t="shared" si="6"/>
        <v>300</v>
      </c>
      <c r="U62" s="271"/>
      <c r="V62" s="271"/>
      <c r="W62" s="276">
        <f t="shared" si="7"/>
        <v>0</v>
      </c>
      <c r="X62" s="178"/>
      <c r="Y62" s="178"/>
      <c r="Z62" s="178"/>
      <c r="AA62" s="277"/>
      <c r="AB62" s="135"/>
      <c r="AC62" s="135"/>
      <c r="AD62" s="137"/>
      <c r="AE62" s="137"/>
      <c r="AF62" s="275"/>
      <c r="AG62" s="275"/>
      <c r="AH62" s="275"/>
      <c r="AI62" s="275"/>
      <c r="AJ62" s="275"/>
      <c r="AK62" s="50"/>
      <c r="AL62" s="50"/>
      <c r="AM62" s="50"/>
      <c r="AN62" s="50"/>
      <c r="AO62" s="144"/>
      <c r="AP62" s="144"/>
      <c r="AQ62" s="144"/>
      <c r="AR62" s="144"/>
      <c r="AS62" s="144"/>
      <c r="AT62" s="50"/>
      <c r="AU62" s="51"/>
    </row>
    <row r="63" spans="1:47" s="103" customFormat="1" ht="15" customHeight="1">
      <c r="A63" s="50"/>
      <c r="B63" s="234"/>
      <c r="C63" s="235"/>
      <c r="D63" s="236"/>
      <c r="E63" s="183">
        <v>1</v>
      </c>
      <c r="F63" s="264"/>
      <c r="G63" s="265" t="str">
        <f t="shared" si="8"/>
        <v>暖房</v>
      </c>
      <c r="H63" s="266"/>
      <c r="I63" s="266"/>
      <c r="J63" s="267">
        <f t="shared" si="5"/>
        <v>0</v>
      </c>
      <c r="K63" s="268"/>
      <c r="L63" s="268"/>
      <c r="M63" s="268"/>
      <c r="N63" s="268"/>
      <c r="O63" s="268"/>
      <c r="P63" s="268"/>
      <c r="Q63" s="268"/>
      <c r="R63" s="268"/>
      <c r="S63" s="269"/>
      <c r="T63" s="270">
        <f t="shared" si="6"/>
        <v>300</v>
      </c>
      <c r="U63" s="271"/>
      <c r="V63" s="271"/>
      <c r="W63" s="276">
        <f t="shared" si="7"/>
        <v>0</v>
      </c>
      <c r="X63" s="178"/>
      <c r="Y63" s="178"/>
      <c r="Z63" s="178"/>
      <c r="AA63" s="277"/>
      <c r="AB63" s="136"/>
      <c r="AC63" s="136"/>
      <c r="AD63" s="141"/>
      <c r="AE63" s="141"/>
      <c r="AF63" s="275"/>
      <c r="AG63" s="275"/>
      <c r="AH63" s="275"/>
      <c r="AI63" s="275"/>
      <c r="AJ63" s="275"/>
      <c r="AK63" s="50"/>
      <c r="AL63" s="50"/>
      <c r="AM63" s="50"/>
      <c r="AN63" s="50"/>
      <c r="AO63" s="144"/>
      <c r="AP63" s="144"/>
      <c r="AQ63" s="144"/>
      <c r="AR63" s="144"/>
      <c r="AS63" s="144"/>
      <c r="AT63" s="50"/>
      <c r="AU63" s="51"/>
    </row>
    <row r="64" spans="1:47" s="103" customFormat="1" ht="15" customHeight="1">
      <c r="A64" s="50"/>
      <c r="B64" s="234"/>
      <c r="C64" s="235"/>
      <c r="D64" s="236"/>
      <c r="E64" s="183">
        <v>2</v>
      </c>
      <c r="F64" s="264"/>
      <c r="G64" s="265" t="str">
        <f t="shared" si="8"/>
        <v>暖房</v>
      </c>
      <c r="H64" s="266"/>
      <c r="I64" s="266"/>
      <c r="J64" s="267">
        <f t="shared" si="5"/>
        <v>0</v>
      </c>
      <c r="K64" s="268"/>
      <c r="L64" s="268"/>
      <c r="M64" s="268"/>
      <c r="N64" s="268"/>
      <c r="O64" s="268"/>
      <c r="P64" s="268"/>
      <c r="Q64" s="268"/>
      <c r="R64" s="268"/>
      <c r="S64" s="269"/>
      <c r="T64" s="270">
        <f t="shared" si="6"/>
        <v>300</v>
      </c>
      <c r="U64" s="271"/>
      <c r="V64" s="271"/>
      <c r="W64" s="276">
        <f t="shared" si="7"/>
        <v>0</v>
      </c>
      <c r="X64" s="178"/>
      <c r="Y64" s="178"/>
      <c r="Z64" s="178"/>
      <c r="AA64" s="277"/>
      <c r="AB64" s="136"/>
      <c r="AC64" s="136"/>
      <c r="AD64" s="141"/>
      <c r="AE64" s="141"/>
      <c r="AF64" s="275"/>
      <c r="AG64" s="275"/>
      <c r="AH64" s="275"/>
      <c r="AI64" s="275"/>
      <c r="AJ64" s="275"/>
      <c r="AK64" s="50"/>
      <c r="AL64" s="50"/>
      <c r="AM64" s="50"/>
      <c r="AN64" s="50"/>
      <c r="AO64" s="144"/>
      <c r="AP64" s="144"/>
      <c r="AQ64" s="144"/>
      <c r="AR64" s="144"/>
      <c r="AS64" s="144"/>
      <c r="AT64" s="50"/>
      <c r="AU64" s="51"/>
    </row>
    <row r="65" spans="1:47" s="103" customFormat="1" ht="15" customHeight="1" thickBot="1">
      <c r="A65" s="50"/>
      <c r="B65" s="234"/>
      <c r="C65" s="235"/>
      <c r="D65" s="236"/>
      <c r="E65" s="183">
        <v>3</v>
      </c>
      <c r="F65" s="264"/>
      <c r="G65" s="265" t="str">
        <f t="shared" si="8"/>
        <v>暖房</v>
      </c>
      <c r="H65" s="266"/>
      <c r="I65" s="266"/>
      <c r="J65" s="267">
        <f t="shared" si="5"/>
        <v>0</v>
      </c>
      <c r="K65" s="268"/>
      <c r="L65" s="268"/>
      <c r="M65" s="268"/>
      <c r="N65" s="268"/>
      <c r="O65" s="268"/>
      <c r="P65" s="268"/>
      <c r="Q65" s="268"/>
      <c r="R65" s="268"/>
      <c r="S65" s="269"/>
      <c r="T65" s="309">
        <f t="shared" si="6"/>
        <v>300</v>
      </c>
      <c r="U65" s="310"/>
      <c r="V65" s="310"/>
      <c r="W65" s="311">
        <f t="shared" si="7"/>
        <v>0</v>
      </c>
      <c r="X65" s="312"/>
      <c r="Y65" s="312"/>
      <c r="Z65" s="312"/>
      <c r="AA65" s="313"/>
      <c r="AB65" s="50"/>
      <c r="AC65" s="50"/>
      <c r="AD65" s="97"/>
      <c r="AE65" s="97"/>
      <c r="AF65" s="275"/>
      <c r="AG65" s="275"/>
      <c r="AH65" s="275"/>
      <c r="AI65" s="275"/>
      <c r="AJ65" s="275"/>
      <c r="AK65" s="50"/>
      <c r="AL65" s="50"/>
      <c r="AM65" s="50"/>
      <c r="AN65" s="50"/>
      <c r="AO65" s="144"/>
      <c r="AP65" s="144"/>
      <c r="AQ65" s="144"/>
      <c r="AR65" s="144"/>
      <c r="AS65" s="144"/>
      <c r="AT65" s="50"/>
      <c r="AU65" s="51"/>
    </row>
    <row r="66" spans="1:47" s="103" customFormat="1" ht="15" customHeight="1" thickTop="1" thickBot="1">
      <c r="A66" s="50"/>
      <c r="B66" s="237"/>
      <c r="C66" s="238"/>
      <c r="D66" s="239"/>
      <c r="E66" s="282" t="s">
        <v>57</v>
      </c>
      <c r="F66" s="283"/>
      <c r="G66" s="284"/>
      <c r="H66" s="285"/>
      <c r="I66" s="285"/>
      <c r="J66" s="286" t="s">
        <v>88</v>
      </c>
      <c r="K66" s="287"/>
      <c r="L66" s="287"/>
      <c r="M66" s="287"/>
      <c r="N66" s="287"/>
      <c r="O66" s="287"/>
      <c r="P66" s="287"/>
      <c r="Q66" s="287"/>
      <c r="R66" s="287"/>
      <c r="S66" s="288"/>
      <c r="T66" s="289">
        <f>SUM(T54:V65)</f>
        <v>3600</v>
      </c>
      <c r="U66" s="290"/>
      <c r="V66" s="290"/>
      <c r="W66" s="291">
        <f>SUM(W54:AA65)</f>
        <v>38430</v>
      </c>
      <c r="X66" s="292"/>
      <c r="Y66" s="292"/>
      <c r="Z66" s="292"/>
      <c r="AA66" s="293"/>
      <c r="AB66" s="50"/>
      <c r="AC66" s="50"/>
      <c r="AD66" s="97"/>
      <c r="AE66" s="97"/>
      <c r="AF66" s="294"/>
      <c r="AG66" s="294"/>
      <c r="AH66" s="294"/>
      <c r="AI66" s="294"/>
      <c r="AJ66" s="294"/>
      <c r="AK66" s="50"/>
      <c r="AL66" s="50"/>
      <c r="AM66" s="50"/>
      <c r="AN66" s="50"/>
      <c r="AO66" s="144"/>
      <c r="AP66" s="144"/>
      <c r="AQ66" s="144"/>
      <c r="AR66" s="144"/>
      <c r="AS66" s="144"/>
      <c r="AT66" s="50"/>
      <c r="AU66" s="51"/>
    </row>
    <row r="67" spans="1:47" s="103" customFormat="1" ht="15" customHeight="1" thickTop="1">
      <c r="A67" s="50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144"/>
      <c r="AP67" s="144"/>
      <c r="AQ67" s="144"/>
      <c r="AR67" s="144"/>
      <c r="AS67" s="144"/>
      <c r="AT67" s="50"/>
      <c r="AU67" s="51"/>
    </row>
    <row r="68" spans="1:47" ht="15" customHeight="1">
      <c r="A68" s="10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F68" s="112"/>
      <c r="AG68" s="112"/>
      <c r="AH68" s="112"/>
      <c r="AI68" s="112"/>
      <c r="AJ68" s="112"/>
    </row>
    <row r="69" spans="1:47" ht="15" customHeight="1"/>
    <row r="70" spans="1:47" s="103" customFormat="1" ht="1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144"/>
      <c r="AP70" s="144"/>
      <c r="AQ70" s="144"/>
      <c r="AR70" s="144"/>
      <c r="AS70" s="144"/>
      <c r="AT70" s="50"/>
      <c r="AU70" s="51"/>
    </row>
    <row r="71" spans="1:47" s="103" customFormat="1" ht="1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144"/>
      <c r="AP71" s="144"/>
      <c r="AQ71" s="144"/>
      <c r="AR71" s="144"/>
      <c r="AS71" s="144"/>
      <c r="AT71" s="50"/>
      <c r="AU71" s="51"/>
    </row>
    <row r="72" spans="1:47" s="103" customFormat="1" ht="1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144"/>
      <c r="AP72" s="144"/>
      <c r="AQ72" s="144"/>
      <c r="AR72" s="144"/>
      <c r="AS72" s="144"/>
      <c r="AT72" s="50"/>
      <c r="AU72" s="51"/>
    </row>
    <row r="73" spans="1:47" s="103" customFormat="1" ht="1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144"/>
      <c r="AP73" s="144"/>
      <c r="AQ73" s="144"/>
      <c r="AR73" s="144"/>
      <c r="AS73" s="144"/>
      <c r="AT73" s="50"/>
      <c r="AU73" s="51"/>
    </row>
    <row r="74" spans="1:47" s="103" customFormat="1" ht="1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144"/>
      <c r="AP74" s="144"/>
      <c r="AQ74" s="144"/>
      <c r="AR74" s="144"/>
      <c r="AS74" s="144"/>
      <c r="AT74" s="50"/>
      <c r="AU74" s="51"/>
    </row>
    <row r="75" spans="1:47" s="103" customFormat="1" ht="1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144"/>
      <c r="AP75" s="144"/>
      <c r="AQ75" s="144"/>
      <c r="AR75" s="144"/>
      <c r="AS75" s="144"/>
      <c r="AT75" s="50"/>
      <c r="AU75" s="51"/>
    </row>
    <row r="76" spans="1:47" s="103" customFormat="1" ht="1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144"/>
      <c r="AP76" s="144"/>
      <c r="AQ76" s="144"/>
      <c r="AR76" s="144"/>
      <c r="AS76" s="144"/>
      <c r="AT76" s="50"/>
      <c r="AU76" s="51"/>
    </row>
    <row r="77" spans="1:47" s="103" customFormat="1" ht="1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144"/>
      <c r="AP77" s="144"/>
      <c r="AQ77" s="144"/>
      <c r="AR77" s="144"/>
      <c r="AS77" s="144"/>
      <c r="AT77" s="50"/>
      <c r="AU77" s="51"/>
    </row>
    <row r="78" spans="1:47" s="103" customFormat="1" ht="1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144"/>
      <c r="AP78" s="144"/>
      <c r="AQ78" s="144"/>
      <c r="AR78" s="144"/>
      <c r="AS78" s="144"/>
      <c r="AT78" s="50"/>
      <c r="AU78" s="51"/>
    </row>
    <row r="79" spans="1:47" s="50" customFormat="1" ht="38.25" customHeight="1">
      <c r="AO79" s="144"/>
      <c r="AP79" s="144"/>
      <c r="AQ79" s="144"/>
      <c r="AR79" s="144"/>
      <c r="AS79" s="144"/>
    </row>
  </sheetData>
  <sheetProtection algorithmName="SHA-512" hashValue="+x+u/YaAo6XCILchZugi1oR/mXLh0eVLRWR3wXt1nL7OPDEmXz6hynCsiYuiGqNyBkLXTGg82Ajdj4WUNAk8ig==" saltValue="/A79G0kCEecdEAfr9MOjDQ==" spinCount="100000" sheet="1" objects="1" scenarios="1" selectLockedCells="1"/>
  <mergeCells count="277">
    <mergeCell ref="A1:AI1"/>
    <mergeCell ref="B7:H7"/>
    <mergeCell ref="P24:R24"/>
    <mergeCell ref="I24:O24"/>
    <mergeCell ref="AF35:AL36"/>
    <mergeCell ref="AF38:AL41"/>
    <mergeCell ref="AF43:AL44"/>
    <mergeCell ref="AF46:AL50"/>
    <mergeCell ref="W33:AA33"/>
    <mergeCell ref="E47:F47"/>
    <mergeCell ref="J47:L47"/>
    <mergeCell ref="M47:P47"/>
    <mergeCell ref="Q47:S47"/>
    <mergeCell ref="T47:V47"/>
    <mergeCell ref="W47:AA47"/>
    <mergeCell ref="W45:AA45"/>
    <mergeCell ref="AF45:AJ45"/>
    <mergeCell ref="E46:F46"/>
    <mergeCell ref="G46:I46"/>
    <mergeCell ref="J46:L46"/>
    <mergeCell ref="M46:P46"/>
    <mergeCell ref="Q46:S46"/>
    <mergeCell ref="T46:V46"/>
    <mergeCell ref="E43:F43"/>
    <mergeCell ref="E66:F66"/>
    <mergeCell ref="G66:I66"/>
    <mergeCell ref="J66:S66"/>
    <mergeCell ref="T66:V66"/>
    <mergeCell ref="W66:AA66"/>
    <mergeCell ref="AF66:AJ66"/>
    <mergeCell ref="B52:D66"/>
    <mergeCell ref="E52:F53"/>
    <mergeCell ref="G52:I53"/>
    <mergeCell ref="J52:S52"/>
    <mergeCell ref="T52:V52"/>
    <mergeCell ref="W52:AA52"/>
    <mergeCell ref="AF52:AJ52"/>
    <mergeCell ref="J53:S53"/>
    <mergeCell ref="T53:V53"/>
    <mergeCell ref="W53:AA53"/>
    <mergeCell ref="AF53:AJ53"/>
    <mergeCell ref="E65:F65"/>
    <mergeCell ref="G65:I65"/>
    <mergeCell ref="J65:S65"/>
    <mergeCell ref="T65:V65"/>
    <mergeCell ref="W65:AA65"/>
    <mergeCell ref="AF65:AJ65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E60:F60"/>
    <mergeCell ref="G60:I60"/>
    <mergeCell ref="J60:S60"/>
    <mergeCell ref="T60:V60"/>
    <mergeCell ref="W60:AA60"/>
    <mergeCell ref="AF60:AJ60"/>
    <mergeCell ref="E59:F59"/>
    <mergeCell ref="G59:I59"/>
    <mergeCell ref="J59:S59"/>
    <mergeCell ref="T59:V59"/>
    <mergeCell ref="W59:AA59"/>
    <mergeCell ref="AF59:AJ59"/>
    <mergeCell ref="E58:F58"/>
    <mergeCell ref="G58:I58"/>
    <mergeCell ref="J58:S58"/>
    <mergeCell ref="T58:V58"/>
    <mergeCell ref="W58:AA58"/>
    <mergeCell ref="AF58:AJ58"/>
    <mergeCell ref="E55:F55"/>
    <mergeCell ref="G55:I55"/>
    <mergeCell ref="J55:S55"/>
    <mergeCell ref="T55:V55"/>
    <mergeCell ref="W55:AA55"/>
    <mergeCell ref="AF55:AJ55"/>
    <mergeCell ref="T57:V57"/>
    <mergeCell ref="W57:AA57"/>
    <mergeCell ref="AF57:AJ57"/>
    <mergeCell ref="E56:F56"/>
    <mergeCell ref="G56:I56"/>
    <mergeCell ref="J56:S56"/>
    <mergeCell ref="E44:F44"/>
    <mergeCell ref="G44:I44"/>
    <mergeCell ref="J44:L44"/>
    <mergeCell ref="M44:P44"/>
    <mergeCell ref="Q44:S44"/>
    <mergeCell ref="T44:V44"/>
    <mergeCell ref="W44:AA44"/>
    <mergeCell ref="W46:AA46"/>
    <mergeCell ref="G48:AA49"/>
    <mergeCell ref="E54:F54"/>
    <mergeCell ref="G54:I54"/>
    <mergeCell ref="J54:S54"/>
    <mergeCell ref="T54:V54"/>
    <mergeCell ref="W54:AA54"/>
    <mergeCell ref="AF54:AJ54"/>
    <mergeCell ref="E57:F57"/>
    <mergeCell ref="G57:I57"/>
    <mergeCell ref="J57:S57"/>
    <mergeCell ref="T56:V56"/>
    <mergeCell ref="W56:AA56"/>
    <mergeCell ref="AF56:AJ56"/>
    <mergeCell ref="G43:I43"/>
    <mergeCell ref="J43:L43"/>
    <mergeCell ref="M43:P43"/>
    <mergeCell ref="Q43:S43"/>
    <mergeCell ref="T43:V43"/>
    <mergeCell ref="W43:AA43"/>
    <mergeCell ref="W41:AA41"/>
    <mergeCell ref="E42:F42"/>
    <mergeCell ref="G42:I42"/>
    <mergeCell ref="J42:L42"/>
    <mergeCell ref="M42:P42"/>
    <mergeCell ref="Q42:S42"/>
    <mergeCell ref="T42:V42"/>
    <mergeCell ref="W42:AA42"/>
    <mergeCell ref="AF42:AJ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AB42:AE42"/>
    <mergeCell ref="Q35:S35"/>
    <mergeCell ref="T35:V35"/>
    <mergeCell ref="W37:AA37"/>
    <mergeCell ref="AF37:AJ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B33:D47"/>
    <mergeCell ref="E33:F34"/>
    <mergeCell ref="G33:I34"/>
    <mergeCell ref="J33:L33"/>
    <mergeCell ref="M33:P33"/>
    <mergeCell ref="Q33:S34"/>
    <mergeCell ref="T33:V33"/>
    <mergeCell ref="AF32:AJ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T16:AK16"/>
    <mergeCell ref="B28:D30"/>
    <mergeCell ref="E28:H28"/>
    <mergeCell ref="I28:R28"/>
    <mergeCell ref="E29:H29"/>
    <mergeCell ref="I29:O29"/>
    <mergeCell ref="P29:R29"/>
    <mergeCell ref="T27:AK27"/>
    <mergeCell ref="T28:AK28"/>
    <mergeCell ref="T29:AK29"/>
    <mergeCell ref="T30:AK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B49:C49"/>
    <mergeCell ref="P16:R16"/>
    <mergeCell ref="E17:H17"/>
    <mergeCell ref="T17:AK17"/>
    <mergeCell ref="I17:O17"/>
    <mergeCell ref="P17:R17"/>
    <mergeCell ref="T45:V45"/>
    <mergeCell ref="Q45:S45"/>
    <mergeCell ref="M45:P45"/>
    <mergeCell ref="J45:L45"/>
    <mergeCell ref="G45:I45"/>
    <mergeCell ref="E45:F45"/>
    <mergeCell ref="T23:AK23"/>
    <mergeCell ref="T24:AK24"/>
    <mergeCell ref="B18:H18"/>
    <mergeCell ref="I18:R18"/>
    <mergeCell ref="C19:H19"/>
    <mergeCell ref="I19:O19"/>
    <mergeCell ref="P19:R19"/>
    <mergeCell ref="T22:AL22"/>
    <mergeCell ref="T19:AK19"/>
    <mergeCell ref="T18:AK18"/>
    <mergeCell ref="B27:H27"/>
    <mergeCell ref="I27:R27"/>
    <mergeCell ref="AB44:AE44"/>
    <mergeCell ref="AB45:AE45"/>
    <mergeCell ref="AB46:AE46"/>
    <mergeCell ref="AB47:AE47"/>
    <mergeCell ref="AB33:AE33"/>
    <mergeCell ref="AB34:AE34"/>
    <mergeCell ref="AB35:AE35"/>
    <mergeCell ref="AB36:AE36"/>
    <mergeCell ref="AB37:AE37"/>
    <mergeCell ref="AB38:AE38"/>
    <mergeCell ref="AB39:AE39"/>
    <mergeCell ref="AB40:AE40"/>
    <mergeCell ref="AB41:AE41"/>
    <mergeCell ref="AB43:AE43"/>
  </mergeCells>
  <phoneticPr fontId="1"/>
  <conditionalFormatting sqref="T35">
    <cfRule type="expression" dxfId="22" priority="26">
      <formula>#REF!="独自計算"</formula>
    </cfRule>
  </conditionalFormatting>
  <conditionalFormatting sqref="T36:T46">
    <cfRule type="expression" dxfId="21" priority="25">
      <formula>#REF!="独自計算"</formula>
    </cfRule>
  </conditionalFormatting>
  <conditionalFormatting sqref="AU18:AZ18 AP21">
    <cfRule type="expression" dxfId="20" priority="27">
      <formula>#REF!="その他"</formula>
    </cfRule>
  </conditionalFormatting>
  <conditionalFormatting sqref="I19:O20">
    <cfRule type="expression" dxfId="19" priority="23">
      <formula>$I$19="任意入力"</formula>
    </cfRule>
  </conditionalFormatting>
  <conditionalFormatting sqref="M35:P46">
    <cfRule type="expression" dxfId="18" priority="22">
      <formula>$I$22="その他"</formula>
    </cfRule>
  </conditionalFormatting>
  <conditionalFormatting sqref="B52:AA66">
    <cfRule type="expression" dxfId="17" priority="6">
      <formula>$I$27="非該当"</formula>
    </cfRule>
  </conditionalFormatting>
  <conditionalFormatting sqref="I28:R30">
    <cfRule type="expression" dxfId="16" priority="5">
      <formula>$I$27="非該当"</formula>
    </cfRule>
  </conditionalFormatting>
  <conditionalFormatting sqref="AB33:AE47">
    <cfRule type="expression" dxfId="15" priority="4">
      <formula>$I$18&lt;&gt;"プロパン（い号）"</formula>
    </cfRule>
  </conditionalFormatting>
  <conditionalFormatting sqref="W35:AA35">
    <cfRule type="expression" dxfId="14" priority="3">
      <formula>$I$18="プロパン（い号）"</formula>
    </cfRule>
  </conditionalFormatting>
  <conditionalFormatting sqref="W36:AA46">
    <cfRule type="expression" dxfId="13" priority="2">
      <formula>$I$18="プロパン（い号）"</formula>
    </cfRule>
  </conditionalFormatting>
  <conditionalFormatting sqref="W47:AA47">
    <cfRule type="expression" dxfId="12" priority="1">
      <formula>$I$18="プロパン（い号）"</formula>
    </cfRule>
  </conditionalFormatting>
  <dataValidations count="5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28:R28 I31:R31" xr:uid="{00000000-0002-0000-0000-000001000000}">
      <formula1>"有り,無し（一定速）"</formula1>
    </dataValidation>
    <dataValidation type="list" allowBlank="1" showInputMessage="1" showErrorMessage="1" sqref="I27" xr:uid="{00000000-0002-0000-0000-000002000000}">
      <formula1>"該当,非該当"</formula1>
    </dataValidation>
    <dataValidation type="list" allowBlank="1" showInputMessage="1" showErrorMessage="1" sqref="G35:G46 H36:I46" xr:uid="{00000000-0002-0000-0000-000003000000}">
      <formula1>"冷房,暖房"</formula1>
    </dataValidation>
    <dataValidation type="list" allowBlank="1" showInputMessage="1" showErrorMessage="1" sqref="AH25:AJ26 P16:R17 P25:R26 P21:R21" xr:uid="{00000000-0002-0000-0000-000004000000}">
      <formula1>"kW,kcal/h"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orientation="portrait" cellComments="asDisplayed" r:id="rId1"/>
  <colBreaks count="1" manualBreakCount="1">
    <brk id="46" max="66" man="1"/>
  </colBreaks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I18:R18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I22:R22</xm:sqref>
        </x14:dataValidation>
        <x14:dataValidation type="list" allowBlank="1" showInputMessage="1" showErrorMessage="1" xr:uid="{00000000-0002-0000-0000-000007000000}">
          <x14:formula1>
            <xm:f>'&lt;吸収式&gt;マスタ'!$U$7:$U$78</xm:f>
          </x14:formula1>
          <xm:sqref>I23:R23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3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2"/>
  <cols>
    <col min="1" max="1" width="2.88671875" style="50" customWidth="1"/>
    <col min="2" max="4" width="3.33203125" style="50" customWidth="1"/>
    <col min="5" max="39" width="2.88671875" style="50" customWidth="1"/>
    <col min="40" max="41" width="2.88671875" style="50" hidden="1" customWidth="1"/>
    <col min="42" max="42" width="9.21875" style="50" hidden="1" customWidth="1"/>
    <col min="43" max="43" width="14.109375" style="50" hidden="1" customWidth="1"/>
    <col min="44" max="44" width="10.21875" style="50" hidden="1" customWidth="1"/>
    <col min="45" max="45" width="20" style="50" hidden="1" customWidth="1"/>
    <col min="46" max="46" width="11.21875" style="50" hidden="1" customWidth="1"/>
    <col min="47" max="47" width="2.88671875" style="50" hidden="1" customWidth="1"/>
    <col min="48" max="48" width="11.21875" style="51" hidden="1" customWidth="1"/>
    <col min="49" max="49" width="11.109375" style="51" hidden="1" customWidth="1"/>
    <col min="50" max="51" width="9" style="51" customWidth="1"/>
    <col min="52" max="58" width="9" style="51"/>
    <col min="59" max="59" width="13.6640625" style="51" customWidth="1"/>
    <col min="60" max="62" width="9" style="51"/>
    <col min="63" max="63" width="5.21875" style="51" customWidth="1"/>
    <col min="64" max="66" width="9" style="51"/>
    <col min="67" max="67" width="2.88671875" style="51" customWidth="1"/>
    <col min="68" max="16384" width="9" style="51"/>
  </cols>
  <sheetData>
    <row r="1" spans="1:55" ht="34.5" customHeight="1">
      <c r="A1" s="314" t="s">
        <v>234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49"/>
      <c r="AK1" s="49"/>
      <c r="AL1" s="49"/>
      <c r="AM1" s="49"/>
      <c r="AN1" s="49"/>
      <c r="AQ1" s="144"/>
      <c r="AR1" s="144"/>
      <c r="AS1" s="144"/>
      <c r="AT1" s="144"/>
    </row>
    <row r="2" spans="1:55" ht="34.5" customHeigh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Q2" s="144"/>
      <c r="AR2" s="144"/>
      <c r="AS2" s="144"/>
      <c r="AT2" s="144"/>
    </row>
    <row r="3" spans="1:55" ht="51.75" customHeight="1">
      <c r="AT3" s="51"/>
      <c r="AU3" s="51"/>
    </row>
    <row r="4" spans="1:55" ht="15" customHeight="1">
      <c r="B4" s="196"/>
      <c r="C4" s="197"/>
      <c r="D4" s="197"/>
      <c r="E4" s="198"/>
      <c r="F4" s="199" t="s">
        <v>222</v>
      </c>
      <c r="G4" s="200"/>
      <c r="H4" s="200"/>
      <c r="I4" s="200"/>
      <c r="J4" s="200"/>
      <c r="K4" s="200"/>
      <c r="AT4" s="51"/>
      <c r="AU4" s="51"/>
    </row>
    <row r="5" spans="1:55" ht="15" customHeight="1">
      <c r="A5" s="50" t="s">
        <v>180</v>
      </c>
      <c r="AT5" s="51"/>
      <c r="AU5" s="51"/>
    </row>
    <row r="6" spans="1:55" ht="15" customHeight="1">
      <c r="B6" s="205" t="s">
        <v>115</v>
      </c>
      <c r="C6" s="206"/>
      <c r="D6" s="206"/>
      <c r="E6" s="206"/>
      <c r="F6" s="206"/>
      <c r="G6" s="206"/>
      <c r="H6" s="207"/>
      <c r="I6" s="211" t="s">
        <v>119</v>
      </c>
      <c r="J6" s="212"/>
      <c r="K6" s="212"/>
      <c r="L6" s="212"/>
      <c r="M6" s="212"/>
      <c r="N6" s="212"/>
      <c r="O6" s="212"/>
      <c r="P6" s="212"/>
      <c r="Q6" s="212"/>
      <c r="R6" s="213"/>
      <c r="S6" s="52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P6" s="113" t="s">
        <v>129</v>
      </c>
      <c r="AQ6" s="58" t="s">
        <v>141</v>
      </c>
      <c r="AR6" s="59"/>
      <c r="AS6" s="59"/>
      <c r="AT6" s="114"/>
      <c r="AU6" s="60"/>
      <c r="AV6" s="60"/>
      <c r="AW6" s="60"/>
      <c r="AX6" s="60"/>
      <c r="AY6" s="60"/>
      <c r="AZ6" s="60"/>
      <c r="BA6" s="60"/>
      <c r="BB6" s="60"/>
      <c r="BC6" s="60"/>
    </row>
    <row r="7" spans="1:55" ht="15" customHeight="1">
      <c r="B7" s="315" t="str">
        <f>IF(I6="導入予定設備","様式 １－３　NO.","様式 １－４　NO.")</f>
        <v>様式 １－３　NO.</v>
      </c>
      <c r="C7" s="316"/>
      <c r="D7" s="316"/>
      <c r="E7" s="316"/>
      <c r="F7" s="316"/>
      <c r="G7" s="316"/>
      <c r="H7" s="317"/>
      <c r="I7" s="185"/>
      <c r="J7" s="186"/>
      <c r="K7" s="186"/>
      <c r="L7" s="186"/>
      <c r="M7" s="186"/>
      <c r="N7" s="186"/>
      <c r="O7" s="186"/>
      <c r="P7" s="186"/>
      <c r="Q7" s="186"/>
      <c r="R7" s="187"/>
      <c r="S7" s="52"/>
      <c r="T7" s="163" t="s">
        <v>197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T7" s="51"/>
      <c r="AU7" s="51"/>
    </row>
    <row r="8" spans="1:55" ht="3" customHeight="1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5"/>
      <c r="U8" s="55"/>
      <c r="V8" s="55"/>
      <c r="W8" s="55"/>
      <c r="X8" s="55"/>
      <c r="Y8" s="55"/>
      <c r="Z8" s="55"/>
      <c r="AA8" s="55"/>
      <c r="AB8" s="131"/>
      <c r="AC8" s="131"/>
      <c r="AD8" s="131"/>
      <c r="AE8" s="131"/>
      <c r="AF8" s="55"/>
      <c r="AG8" s="55"/>
      <c r="AH8" s="55"/>
      <c r="AI8" s="55"/>
      <c r="AJ8" s="55"/>
      <c r="AK8" s="55"/>
      <c r="AL8" s="55"/>
      <c r="AM8" s="55"/>
      <c r="AT8" s="51"/>
      <c r="AU8" s="51"/>
    </row>
    <row r="9" spans="1:55" ht="15" customHeight="1">
      <c r="A9" s="50" t="s">
        <v>49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4"/>
      <c r="T9" s="54"/>
      <c r="U9" s="54"/>
      <c r="V9" s="54"/>
      <c r="W9" s="54"/>
      <c r="X9" s="54"/>
      <c r="Y9" s="54"/>
      <c r="Z9" s="54"/>
      <c r="AA9" s="54"/>
      <c r="AB9" s="131"/>
      <c r="AC9" s="131"/>
      <c r="AD9" s="131"/>
      <c r="AE9" s="131"/>
      <c r="AF9" s="54"/>
      <c r="AG9" s="54"/>
      <c r="AH9" s="54"/>
      <c r="AI9" s="54"/>
      <c r="AJ9" s="56"/>
      <c r="AT9" s="51"/>
      <c r="AU9" s="51"/>
    </row>
    <row r="10" spans="1:55" ht="15" customHeight="1">
      <c r="B10" s="202" t="s">
        <v>231</v>
      </c>
      <c r="C10" s="203"/>
      <c r="D10" s="203"/>
      <c r="E10" s="203"/>
      <c r="F10" s="203"/>
      <c r="G10" s="203"/>
      <c r="H10" s="204"/>
      <c r="I10" s="361" t="s">
        <v>50</v>
      </c>
      <c r="J10" s="361"/>
      <c r="K10" s="361"/>
      <c r="L10" s="361"/>
      <c r="M10" s="361"/>
      <c r="N10" s="361"/>
      <c r="O10" s="361"/>
      <c r="P10" s="361"/>
      <c r="Q10" s="361"/>
      <c r="R10" s="361"/>
      <c r="S10" s="52"/>
      <c r="T10" s="163" t="s">
        <v>232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R10" s="97"/>
      <c r="AS10" s="97"/>
      <c r="AT10" s="51"/>
      <c r="AU10" s="51"/>
    </row>
    <row r="11" spans="1:55" ht="30" customHeight="1">
      <c r="B11" s="205" t="s">
        <v>51</v>
      </c>
      <c r="C11" s="206"/>
      <c r="D11" s="206"/>
      <c r="E11" s="206"/>
      <c r="F11" s="206"/>
      <c r="G11" s="206"/>
      <c r="H11" s="207"/>
      <c r="I11" s="361" t="s">
        <v>90</v>
      </c>
      <c r="J11" s="361"/>
      <c r="K11" s="361"/>
      <c r="L11" s="361"/>
      <c r="M11" s="361"/>
      <c r="N11" s="361"/>
      <c r="O11" s="361"/>
      <c r="P11" s="361"/>
      <c r="Q11" s="361"/>
      <c r="R11" s="361"/>
      <c r="S11" s="52"/>
      <c r="T11" s="163" t="s">
        <v>198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T11" s="51"/>
      <c r="AU11" s="51"/>
    </row>
    <row r="12" spans="1:55" ht="15" customHeight="1">
      <c r="B12" s="214" t="s">
        <v>185</v>
      </c>
      <c r="C12" s="215"/>
      <c r="D12" s="215"/>
      <c r="E12" s="215"/>
      <c r="F12" s="215"/>
      <c r="G12" s="215"/>
      <c r="H12" s="216"/>
      <c r="I12" s="361" t="s">
        <v>89</v>
      </c>
      <c r="J12" s="361"/>
      <c r="K12" s="361"/>
      <c r="L12" s="361"/>
      <c r="M12" s="361"/>
      <c r="N12" s="361"/>
      <c r="O12" s="361"/>
      <c r="P12" s="361"/>
      <c r="Q12" s="361"/>
      <c r="R12" s="361"/>
      <c r="S12" s="52"/>
      <c r="T12" s="163" t="s">
        <v>194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Q12" s="97"/>
      <c r="AR12" s="115"/>
      <c r="AT12" s="51"/>
      <c r="AU12" s="51"/>
    </row>
    <row r="13" spans="1:55" ht="12" customHeight="1">
      <c r="AB13" s="56"/>
      <c r="AC13" s="56"/>
      <c r="AD13" s="56"/>
      <c r="AE13" s="56"/>
    </row>
    <row r="14" spans="1:55" ht="15" customHeight="1">
      <c r="B14" s="201" t="s">
        <v>202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T14" s="51"/>
      <c r="AU14" s="51"/>
    </row>
    <row r="15" spans="1:55" ht="15" customHeight="1">
      <c r="A15" s="50" t="s">
        <v>167</v>
      </c>
      <c r="B15" s="116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32"/>
      <c r="AC15" s="132"/>
      <c r="AD15" s="132"/>
      <c r="AE15" s="132"/>
      <c r="AF15" s="117"/>
      <c r="AG15" s="117"/>
      <c r="AH15" s="117"/>
      <c r="AI15" s="56"/>
      <c r="AJ15" s="56"/>
      <c r="AT15" s="51"/>
      <c r="AU15" s="51"/>
    </row>
    <row r="16" spans="1:55" s="118" customFormat="1" ht="15" customHeight="1">
      <c r="A16" s="88"/>
      <c r="B16" s="226" t="s">
        <v>249</v>
      </c>
      <c r="C16" s="162"/>
      <c r="D16" s="162"/>
      <c r="E16" s="206" t="s">
        <v>181</v>
      </c>
      <c r="F16" s="206"/>
      <c r="G16" s="206"/>
      <c r="H16" s="207"/>
      <c r="I16" s="227">
        <v>1303</v>
      </c>
      <c r="J16" s="228"/>
      <c r="K16" s="228"/>
      <c r="L16" s="228"/>
      <c r="M16" s="228"/>
      <c r="N16" s="228"/>
      <c r="O16" s="228"/>
      <c r="P16" s="352" t="s">
        <v>52</v>
      </c>
      <c r="Q16" s="352"/>
      <c r="R16" s="353"/>
      <c r="S16" s="52"/>
      <c r="T16" s="163" t="s">
        <v>195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88"/>
      <c r="AO16" s="88"/>
      <c r="AP16" s="88"/>
      <c r="AQ16" s="88"/>
      <c r="AR16" s="88"/>
      <c r="AS16" s="88"/>
      <c r="AT16" s="88"/>
      <c r="AU16" s="88"/>
    </row>
    <row r="17" spans="1:55" s="118" customFormat="1" ht="15" customHeight="1">
      <c r="A17" s="88"/>
      <c r="B17" s="162"/>
      <c r="C17" s="162"/>
      <c r="D17" s="162"/>
      <c r="E17" s="206" t="s">
        <v>182</v>
      </c>
      <c r="F17" s="206"/>
      <c r="G17" s="206"/>
      <c r="H17" s="207"/>
      <c r="I17" s="227">
        <v>1352</v>
      </c>
      <c r="J17" s="228"/>
      <c r="K17" s="228"/>
      <c r="L17" s="228"/>
      <c r="M17" s="228"/>
      <c r="N17" s="228"/>
      <c r="O17" s="228"/>
      <c r="P17" s="352" t="s">
        <v>52</v>
      </c>
      <c r="Q17" s="352"/>
      <c r="R17" s="353"/>
      <c r="S17" s="52"/>
      <c r="T17" s="163" t="s">
        <v>199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88"/>
      <c r="AO17" s="88"/>
      <c r="AP17" s="88"/>
      <c r="AQ17" s="88"/>
      <c r="AR17" s="88"/>
      <c r="AS17" s="88"/>
      <c r="AT17" s="88"/>
      <c r="AU17" s="88"/>
    </row>
    <row r="18" spans="1:55" s="118" customFormat="1" ht="15" customHeight="1">
      <c r="A18" s="88"/>
      <c r="B18" s="154" t="s">
        <v>183</v>
      </c>
      <c r="C18" s="162"/>
      <c r="D18" s="162"/>
      <c r="E18" s="162"/>
      <c r="F18" s="162"/>
      <c r="G18" s="162"/>
      <c r="H18" s="162"/>
      <c r="I18" s="185" t="s">
        <v>54</v>
      </c>
      <c r="J18" s="186"/>
      <c r="K18" s="186"/>
      <c r="L18" s="186"/>
      <c r="M18" s="186"/>
      <c r="N18" s="186"/>
      <c r="O18" s="186"/>
      <c r="P18" s="186"/>
      <c r="Q18" s="186"/>
      <c r="R18" s="187"/>
      <c r="S18" s="52"/>
      <c r="T18" s="163" t="s">
        <v>200</v>
      </c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88"/>
      <c r="AO18" s="88"/>
      <c r="AP18" s="113" t="s">
        <v>157</v>
      </c>
      <c r="AQ18" s="119">
        <f>VLOOKUP(I18,'&lt;吸収式&gt;マスタ'!$F$6:$G$13,2,0)</f>
        <v>10750</v>
      </c>
      <c r="AR18" s="120" t="str">
        <f>VLOOKUP(I18,'&lt;吸収式&gt;マスタ'!$F$6:$H$13,3,0)</f>
        <v>kcal/㎥</v>
      </c>
      <c r="AS18" s="59"/>
      <c r="AU18" s="71"/>
      <c r="AV18" s="71"/>
      <c r="AW18" s="71"/>
      <c r="AX18" s="71"/>
      <c r="AY18" s="71"/>
      <c r="AZ18" s="71"/>
      <c r="BB18" s="70"/>
      <c r="BC18" s="70"/>
    </row>
    <row r="19" spans="1:55" s="118" customFormat="1" ht="15" customHeight="1">
      <c r="A19" s="88"/>
      <c r="B19" s="72"/>
      <c r="C19" s="162" t="s">
        <v>203</v>
      </c>
      <c r="D19" s="162"/>
      <c r="E19" s="162"/>
      <c r="F19" s="162"/>
      <c r="G19" s="162"/>
      <c r="H19" s="162"/>
      <c r="I19" s="188">
        <f>VLOOKUP(I18,'&lt;吸収式&gt;マスタ'!F28:G31,2,0)</f>
        <v>45</v>
      </c>
      <c r="J19" s="188"/>
      <c r="K19" s="188"/>
      <c r="L19" s="188"/>
      <c r="M19" s="188"/>
      <c r="N19" s="188"/>
      <c r="O19" s="189"/>
      <c r="P19" s="190" t="s">
        <v>204</v>
      </c>
      <c r="Q19" s="191"/>
      <c r="R19" s="191"/>
      <c r="S19" s="55"/>
      <c r="T19" s="401" t="s">
        <v>229</v>
      </c>
      <c r="U19" s="401"/>
      <c r="V19" s="401"/>
      <c r="W19" s="401"/>
      <c r="X19" s="401"/>
      <c r="Y19" s="401"/>
      <c r="Z19" s="401"/>
      <c r="AA19" s="401"/>
      <c r="AB19" s="401"/>
      <c r="AC19" s="401"/>
      <c r="AD19" s="401"/>
      <c r="AE19" s="401"/>
      <c r="AF19" s="401"/>
      <c r="AG19" s="401"/>
      <c r="AH19" s="401"/>
      <c r="AI19" s="401"/>
      <c r="AJ19" s="401"/>
      <c r="AK19" s="401"/>
      <c r="AL19" s="142"/>
      <c r="AM19" s="142"/>
      <c r="AN19" s="88"/>
      <c r="AO19" s="88"/>
      <c r="AP19" s="59"/>
      <c r="AQ19" s="71"/>
      <c r="AR19" s="70"/>
      <c r="AS19" s="59"/>
      <c r="AU19" s="71"/>
      <c r="AV19" s="71"/>
      <c r="AW19" s="71"/>
      <c r="AX19" s="71"/>
      <c r="AY19" s="71"/>
      <c r="AZ19" s="71"/>
      <c r="BB19" s="70"/>
      <c r="BC19" s="70"/>
    </row>
    <row r="20" spans="1:55" s="118" customFormat="1" ht="3" customHeight="1">
      <c r="A20" s="88"/>
      <c r="B20" s="107"/>
      <c r="C20" s="107"/>
      <c r="D20" s="107"/>
      <c r="E20" s="140"/>
      <c r="F20" s="140"/>
      <c r="G20" s="140"/>
      <c r="H20" s="140"/>
      <c r="I20" s="121"/>
      <c r="J20" s="121"/>
      <c r="K20" s="121"/>
      <c r="L20" s="121"/>
      <c r="M20" s="121"/>
      <c r="N20" s="121"/>
      <c r="O20" s="121"/>
      <c r="P20" s="93"/>
      <c r="Q20" s="93"/>
      <c r="R20" s="93"/>
      <c r="S20" s="84"/>
      <c r="T20" s="84"/>
      <c r="U20" s="84"/>
      <c r="V20" s="84"/>
      <c r="W20" s="85"/>
      <c r="X20" s="85"/>
      <c r="Y20" s="85"/>
      <c r="Z20" s="85"/>
      <c r="AA20" s="85"/>
      <c r="AB20" s="73"/>
      <c r="AC20" s="73"/>
      <c r="AD20" s="73"/>
      <c r="AE20" s="73"/>
      <c r="AF20" s="85"/>
      <c r="AG20" s="85"/>
      <c r="AH20" s="84"/>
      <c r="AI20" s="84"/>
      <c r="AJ20" s="84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</row>
    <row r="21" spans="1:55" s="118" customFormat="1" ht="15" customHeight="1">
      <c r="A21" s="50" t="s">
        <v>169</v>
      </c>
      <c r="B21" s="107"/>
      <c r="C21" s="107"/>
      <c r="D21" s="107"/>
      <c r="E21" s="87"/>
      <c r="F21" s="87"/>
      <c r="G21" s="87"/>
      <c r="H21" s="87"/>
      <c r="I21" s="86"/>
      <c r="J21" s="86"/>
      <c r="K21" s="86"/>
      <c r="L21" s="86"/>
      <c r="M21" s="86"/>
      <c r="N21" s="86"/>
      <c r="O21" s="86"/>
      <c r="P21" s="87"/>
      <c r="Q21" s="87"/>
      <c r="R21" s="87"/>
      <c r="S21" s="84"/>
      <c r="T21" s="84"/>
      <c r="U21" s="84"/>
      <c r="V21" s="84"/>
      <c r="W21" s="85"/>
      <c r="X21" s="85"/>
      <c r="Y21" s="85"/>
      <c r="Z21" s="85"/>
      <c r="AA21" s="85"/>
      <c r="AB21" s="73"/>
      <c r="AC21" s="73"/>
      <c r="AD21" s="73"/>
      <c r="AE21" s="73"/>
      <c r="AF21" s="85"/>
      <c r="AG21" s="85"/>
      <c r="AH21" s="84"/>
      <c r="AI21" s="84"/>
      <c r="AJ21" s="84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</row>
    <row r="22" spans="1:55" s="118" customFormat="1" ht="15" customHeight="1">
      <c r="A22" s="50"/>
      <c r="B22" s="202" t="s">
        <v>53</v>
      </c>
      <c r="C22" s="203"/>
      <c r="D22" s="203"/>
      <c r="E22" s="203"/>
      <c r="F22" s="203"/>
      <c r="G22" s="203"/>
      <c r="H22" s="204"/>
      <c r="I22" s="211" t="str">
        <f>既存設備!I22</f>
        <v>店舗</v>
      </c>
      <c r="J22" s="212"/>
      <c r="K22" s="212"/>
      <c r="L22" s="212"/>
      <c r="M22" s="212"/>
      <c r="N22" s="212"/>
      <c r="O22" s="212"/>
      <c r="P22" s="212"/>
      <c r="Q22" s="212"/>
      <c r="R22" s="213"/>
      <c r="S22" s="52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88"/>
      <c r="AO22" s="88"/>
      <c r="AP22" s="88"/>
      <c r="AQ22" s="88"/>
      <c r="AR22" s="88"/>
      <c r="AS22" s="88"/>
      <c r="AT22" s="88"/>
      <c r="AU22" s="88"/>
    </row>
    <row r="23" spans="1:55" s="118" customFormat="1" ht="15" customHeight="1">
      <c r="A23" s="50"/>
      <c r="B23" s="205" t="s">
        <v>125</v>
      </c>
      <c r="C23" s="206"/>
      <c r="D23" s="206"/>
      <c r="E23" s="206"/>
      <c r="F23" s="206"/>
      <c r="G23" s="206"/>
      <c r="H23" s="207"/>
      <c r="I23" s="229" t="s">
        <v>251</v>
      </c>
      <c r="J23" s="230"/>
      <c r="K23" s="230"/>
      <c r="L23" s="230"/>
      <c r="M23" s="230"/>
      <c r="N23" s="230"/>
      <c r="O23" s="230"/>
      <c r="P23" s="230"/>
      <c r="Q23" s="230"/>
      <c r="R23" s="230"/>
      <c r="S23" s="52"/>
      <c r="T23" s="163" t="s">
        <v>201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88"/>
      <c r="AO23" s="88"/>
      <c r="AP23" s="88"/>
      <c r="AQ23" s="88"/>
      <c r="AR23" s="88"/>
      <c r="AS23" s="88"/>
      <c r="AT23" s="88"/>
      <c r="AU23" s="88"/>
    </row>
    <row r="24" spans="1:55" s="118" customFormat="1" ht="15" customHeight="1">
      <c r="A24" s="50"/>
      <c r="B24" s="214" t="s">
        <v>116</v>
      </c>
      <c r="C24" s="215"/>
      <c r="D24" s="215"/>
      <c r="E24" s="215"/>
      <c r="F24" s="215"/>
      <c r="G24" s="215"/>
      <c r="H24" s="216"/>
      <c r="I24" s="321">
        <v>1</v>
      </c>
      <c r="J24" s="322"/>
      <c r="K24" s="322"/>
      <c r="L24" s="322"/>
      <c r="M24" s="322"/>
      <c r="N24" s="322"/>
      <c r="O24" s="323"/>
      <c r="P24" s="318" t="s">
        <v>226</v>
      </c>
      <c r="Q24" s="319"/>
      <c r="R24" s="320"/>
      <c r="S24" s="52"/>
      <c r="T24" s="163" t="s">
        <v>196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88"/>
      <c r="AO24" s="88"/>
      <c r="AP24" s="88"/>
      <c r="AQ24" s="88"/>
      <c r="AR24" s="88"/>
      <c r="AS24" s="88"/>
      <c r="AT24" s="88"/>
      <c r="AU24" s="88"/>
    </row>
    <row r="25" spans="1:55" s="118" customFormat="1" ht="3" customHeight="1">
      <c r="A25" s="50"/>
      <c r="B25" s="140"/>
      <c r="C25" s="140"/>
      <c r="D25" s="140"/>
      <c r="E25" s="140"/>
      <c r="F25" s="140"/>
      <c r="G25" s="140"/>
      <c r="H25" s="140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84"/>
      <c r="T25" s="84"/>
      <c r="U25" s="84"/>
      <c r="V25" s="84"/>
      <c r="W25" s="85"/>
      <c r="X25" s="85"/>
      <c r="Y25" s="85"/>
      <c r="Z25" s="85"/>
      <c r="AA25" s="85"/>
      <c r="AB25" s="133"/>
      <c r="AC25" s="133"/>
      <c r="AD25" s="133"/>
      <c r="AE25" s="133"/>
      <c r="AF25" s="85"/>
      <c r="AG25" s="85"/>
      <c r="AH25" s="84"/>
      <c r="AI25" s="84"/>
      <c r="AJ25" s="84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</row>
    <row r="26" spans="1:55" s="118" customFormat="1" ht="15" customHeight="1">
      <c r="A26" s="50" t="s">
        <v>172</v>
      </c>
      <c r="B26" s="107"/>
      <c r="C26" s="107"/>
      <c r="D26" s="107"/>
      <c r="E26" s="140"/>
      <c r="F26" s="140"/>
      <c r="G26" s="140"/>
      <c r="H26" s="140"/>
      <c r="I26" s="83"/>
      <c r="J26" s="83"/>
      <c r="K26" s="83"/>
      <c r="L26" s="83"/>
      <c r="M26" s="83"/>
      <c r="N26" s="83"/>
      <c r="O26" s="83"/>
      <c r="P26" s="140"/>
      <c r="Q26" s="140"/>
      <c r="R26" s="140"/>
      <c r="S26" s="84"/>
      <c r="T26" s="84"/>
      <c r="U26" s="84"/>
      <c r="V26" s="84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4"/>
      <c r="AI26" s="84"/>
      <c r="AJ26" s="84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</row>
    <row r="27" spans="1:55" s="118" customFormat="1" ht="15" customHeight="1">
      <c r="A27" s="88"/>
      <c r="B27" s="194" t="s">
        <v>173</v>
      </c>
      <c r="C27" s="194"/>
      <c r="D27" s="194"/>
      <c r="E27" s="194"/>
      <c r="F27" s="194"/>
      <c r="G27" s="194"/>
      <c r="H27" s="194"/>
      <c r="I27" s="357" t="str">
        <f>既存設備!I27:R27</f>
        <v>該当</v>
      </c>
      <c r="J27" s="357"/>
      <c r="K27" s="357"/>
      <c r="L27" s="357"/>
      <c r="M27" s="357"/>
      <c r="N27" s="357"/>
      <c r="O27" s="357"/>
      <c r="P27" s="357"/>
      <c r="Q27" s="357"/>
      <c r="R27" s="357"/>
      <c r="S27" s="52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88"/>
      <c r="AO27" s="88"/>
      <c r="AP27" s="88"/>
      <c r="AQ27" s="88"/>
      <c r="AR27" s="88"/>
      <c r="AS27" s="88"/>
      <c r="AT27" s="88"/>
      <c r="AU27" s="88"/>
      <c r="AV27" s="123" t="s">
        <v>165</v>
      </c>
    </row>
    <row r="28" spans="1:55" ht="15" customHeight="1">
      <c r="B28" s="162" t="s">
        <v>100</v>
      </c>
      <c r="C28" s="162"/>
      <c r="D28" s="162"/>
      <c r="E28" s="217" t="s">
        <v>126</v>
      </c>
      <c r="F28" s="217"/>
      <c r="G28" s="217"/>
      <c r="H28" s="217"/>
      <c r="I28" s="356" t="s">
        <v>135</v>
      </c>
      <c r="J28" s="356"/>
      <c r="K28" s="356"/>
      <c r="L28" s="356"/>
      <c r="M28" s="356"/>
      <c r="N28" s="356"/>
      <c r="O28" s="356"/>
      <c r="P28" s="356"/>
      <c r="Q28" s="356"/>
      <c r="R28" s="356"/>
      <c r="S28" s="52"/>
      <c r="T28" s="163" t="str">
        <f>IF(I27="該当","←「有り」「無し（一定値）」から選択","←入力不要")</f>
        <v>←「有り」「無し（一定値）」から選択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Q28" s="124" t="s">
        <v>126</v>
      </c>
      <c r="AR28" s="124">
        <f>IF(I28="有り",0.5,1)</f>
        <v>0.5</v>
      </c>
      <c r="AS28" s="124" t="s">
        <v>94</v>
      </c>
      <c r="AT28" s="125">
        <f>ROUNDDOWN(AV28*AR28,1)</f>
        <v>21.3</v>
      </c>
      <c r="AV28" s="126">
        <f>ROUNDDOWN(1000*I30/3600*(I29+196)/0.8/0.93/1000,1)</f>
        <v>42.7</v>
      </c>
    </row>
    <row r="29" spans="1:55" ht="30" customHeight="1">
      <c r="B29" s="162"/>
      <c r="C29" s="162"/>
      <c r="D29" s="162"/>
      <c r="E29" s="221" t="s">
        <v>92</v>
      </c>
      <c r="F29" s="222"/>
      <c r="G29" s="222"/>
      <c r="H29" s="222"/>
      <c r="I29" s="354">
        <v>90</v>
      </c>
      <c r="J29" s="354"/>
      <c r="K29" s="354"/>
      <c r="L29" s="354"/>
      <c r="M29" s="354"/>
      <c r="N29" s="354"/>
      <c r="O29" s="355"/>
      <c r="P29" s="190" t="s">
        <v>93</v>
      </c>
      <c r="Q29" s="191"/>
      <c r="R29" s="191"/>
      <c r="S29" s="52"/>
      <c r="T29" s="163" t="str">
        <f>IF(I27="該当","←水頭損失を入力（半角）","←入力不要")</f>
        <v>←水頭損失を入力（半角）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S29" s="97"/>
    </row>
    <row r="30" spans="1:55" ht="15" customHeight="1">
      <c r="B30" s="162"/>
      <c r="C30" s="162"/>
      <c r="D30" s="162"/>
      <c r="E30" s="162" t="s">
        <v>87</v>
      </c>
      <c r="F30" s="162"/>
      <c r="G30" s="162"/>
      <c r="H30" s="162"/>
      <c r="I30" s="354">
        <v>400</v>
      </c>
      <c r="J30" s="354"/>
      <c r="K30" s="354"/>
      <c r="L30" s="354"/>
      <c r="M30" s="354"/>
      <c r="N30" s="354"/>
      <c r="O30" s="355"/>
      <c r="P30" s="190" t="s">
        <v>233</v>
      </c>
      <c r="Q30" s="191"/>
      <c r="R30" s="191"/>
      <c r="S30" s="52"/>
      <c r="T30" s="163" t="str">
        <f>IF(I27="該当","←冷却水流量を入力（半角）","←入力不要")</f>
        <v>←冷却水流量を入力（半角）</v>
      </c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R30" s="51"/>
      <c r="AS30" s="127"/>
      <c r="AT30" s="51"/>
      <c r="AU30" s="51"/>
    </row>
    <row r="31" spans="1:55" ht="3" customHeight="1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6"/>
      <c r="AC31" s="56"/>
      <c r="AD31" s="56"/>
      <c r="AE31" s="56"/>
      <c r="AF31" s="51"/>
      <c r="AG31" s="51"/>
      <c r="AH31" s="51"/>
      <c r="AI31" s="51"/>
      <c r="AJ31" s="51"/>
      <c r="AR31" s="51"/>
      <c r="AS31" s="51"/>
      <c r="AT31" s="51"/>
      <c r="AU31" s="51"/>
    </row>
    <row r="32" spans="1:55" ht="15" customHeight="1">
      <c r="A32" s="50" t="s">
        <v>171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128"/>
      <c r="AC32" s="128"/>
      <c r="AD32" s="128"/>
      <c r="AE32" s="128"/>
      <c r="AF32" s="56"/>
      <c r="AG32" s="56"/>
      <c r="AH32" s="56"/>
      <c r="AI32" s="128"/>
      <c r="AJ32" s="128"/>
    </row>
    <row r="33" spans="1:48" ht="30" customHeight="1">
      <c r="B33" s="231" t="s">
        <v>149</v>
      </c>
      <c r="C33" s="232"/>
      <c r="D33" s="233"/>
      <c r="E33" s="202" t="s">
        <v>55</v>
      </c>
      <c r="F33" s="204"/>
      <c r="G33" s="202" t="s">
        <v>13</v>
      </c>
      <c r="H33" s="203"/>
      <c r="I33" s="204"/>
      <c r="J33" s="240" t="s">
        <v>75</v>
      </c>
      <c r="K33" s="359"/>
      <c r="L33" s="360"/>
      <c r="M33" s="243" t="s">
        <v>128</v>
      </c>
      <c r="N33" s="244"/>
      <c r="O33" s="244"/>
      <c r="P33" s="245"/>
      <c r="Q33" s="202" t="s">
        <v>123</v>
      </c>
      <c r="R33" s="203"/>
      <c r="S33" s="204"/>
      <c r="T33" s="202" t="s">
        <v>107</v>
      </c>
      <c r="U33" s="203"/>
      <c r="V33" s="204"/>
      <c r="W33" s="202" t="s">
        <v>133</v>
      </c>
      <c r="X33" s="203"/>
      <c r="Y33" s="203"/>
      <c r="Z33" s="203"/>
      <c r="AA33" s="204"/>
      <c r="AB33" s="154" t="s">
        <v>246</v>
      </c>
      <c r="AC33" s="154"/>
      <c r="AD33" s="154"/>
      <c r="AE33" s="154"/>
      <c r="AF33" s="402"/>
      <c r="AG33" s="301"/>
      <c r="AH33" s="301"/>
      <c r="AI33" s="301"/>
      <c r="AJ33" s="301"/>
    </row>
    <row r="34" spans="1:48" ht="15" customHeight="1" thickBot="1">
      <c r="B34" s="234"/>
      <c r="C34" s="235"/>
      <c r="D34" s="236"/>
      <c r="E34" s="214"/>
      <c r="F34" s="216"/>
      <c r="G34" s="214"/>
      <c r="H34" s="215"/>
      <c r="I34" s="216"/>
      <c r="J34" s="247" t="s">
        <v>158</v>
      </c>
      <c r="K34" s="248"/>
      <c r="L34" s="249"/>
      <c r="M34" s="250" t="s">
        <v>111</v>
      </c>
      <c r="N34" s="251"/>
      <c r="O34" s="251"/>
      <c r="P34" s="252"/>
      <c r="Q34" s="214"/>
      <c r="R34" s="215"/>
      <c r="S34" s="216"/>
      <c r="T34" s="250" t="s">
        <v>108</v>
      </c>
      <c r="U34" s="251"/>
      <c r="V34" s="252"/>
      <c r="W34" s="369" t="s">
        <v>248</v>
      </c>
      <c r="X34" s="370"/>
      <c r="Y34" s="370"/>
      <c r="Z34" s="370"/>
      <c r="AA34" s="371"/>
      <c r="AB34" s="155" t="s">
        <v>247</v>
      </c>
      <c r="AC34" s="155"/>
      <c r="AD34" s="155"/>
      <c r="AE34" s="155"/>
      <c r="AF34" s="402"/>
      <c r="AG34" s="301"/>
      <c r="AH34" s="301"/>
      <c r="AI34" s="301"/>
      <c r="AJ34" s="301"/>
      <c r="AQ34" s="89" t="s">
        <v>78</v>
      </c>
      <c r="AR34" s="89" t="s">
        <v>79</v>
      </c>
      <c r="AT34" s="144" t="s">
        <v>166</v>
      </c>
    </row>
    <row r="35" spans="1:48" ht="15" customHeight="1" thickTop="1">
      <c r="B35" s="234"/>
      <c r="C35" s="235"/>
      <c r="D35" s="236"/>
      <c r="E35" s="183">
        <v>4</v>
      </c>
      <c r="F35" s="264"/>
      <c r="G35" s="265" t="str">
        <f>既存設備!G35:I35</f>
        <v>暖房</v>
      </c>
      <c r="H35" s="266"/>
      <c r="I35" s="266"/>
      <c r="J35" s="358">
        <f t="shared" ref="J35:J46" si="0">IF(G35="暖房",$I$17,$I$16)</f>
        <v>1352</v>
      </c>
      <c r="K35" s="358"/>
      <c r="L35" s="358"/>
      <c r="M35" s="174">
        <f>既存設備!M35:P35</f>
        <v>0.16</v>
      </c>
      <c r="N35" s="175"/>
      <c r="O35" s="175"/>
      <c r="P35" s="176"/>
      <c r="Q35" s="171">
        <f>VLOOKUP(E35&amp;G35&amp;$I$22&amp;$I$6,'&lt;吸収式&gt;マスタ'!$AI$8:$AP$151,8,0)</f>
        <v>0.9</v>
      </c>
      <c r="R35" s="172"/>
      <c r="S35" s="173"/>
      <c r="T35" s="375">
        <f>既存設備!T35</f>
        <v>300</v>
      </c>
      <c r="U35" s="376"/>
      <c r="V35" s="376"/>
      <c r="W35" s="372">
        <f>ROUNDDOWN(AT35*M35*T35*$I$24*'&lt;吸収式&gt;マスタ'!$F$21/$I$19,1)</f>
        <v>5768.4</v>
      </c>
      <c r="X35" s="373"/>
      <c r="Y35" s="373"/>
      <c r="Z35" s="373"/>
      <c r="AA35" s="374"/>
      <c r="AB35" s="156">
        <f>ROUNDDOWN(AT35*M35*T35*$I$24*'&lt;吸収式&gt;マスタ'!$F$21/$I$19,1)*VLOOKUP($I$18,'&lt;吸収式&gt;マスタ'!$F$28:$I$31,3,FALSE)</f>
        <v>5768.4</v>
      </c>
      <c r="AC35" s="157"/>
      <c r="AD35" s="157"/>
      <c r="AE35" s="158"/>
      <c r="AF35" s="362"/>
      <c r="AG35" s="363"/>
      <c r="AH35" s="363"/>
      <c r="AI35" s="363"/>
      <c r="AJ35" s="364"/>
      <c r="AK35" s="368"/>
      <c r="AL35" s="368"/>
      <c r="AM35" s="368"/>
      <c r="AQ35" s="99">
        <f>VLOOKUP(E35&amp;$I$22,'&lt;吸収式&gt;マスタ'!$Z$8:$AB$31,2,0)</f>
        <v>0</v>
      </c>
      <c r="AR35" s="99">
        <f>VLOOKUP(E35&amp;$I$22,'&lt;吸収式&gt;マスタ'!$Z$8:$AB$31,3,0)</f>
        <v>0.16</v>
      </c>
      <c r="AT35" s="92">
        <f>ROUNDDOWN(J35/Q35,1)</f>
        <v>1502.2</v>
      </c>
    </row>
    <row r="36" spans="1:48" ht="15" customHeight="1">
      <c r="B36" s="234"/>
      <c r="C36" s="235"/>
      <c r="D36" s="236"/>
      <c r="E36" s="183">
        <v>5</v>
      </c>
      <c r="F36" s="264"/>
      <c r="G36" s="265" t="str">
        <f>既存設備!G36:I36</f>
        <v>冷房</v>
      </c>
      <c r="H36" s="266"/>
      <c r="I36" s="266"/>
      <c r="J36" s="358">
        <f t="shared" si="0"/>
        <v>1303</v>
      </c>
      <c r="K36" s="358"/>
      <c r="L36" s="358"/>
      <c r="M36" s="174">
        <f>既存設備!M36:P36</f>
        <v>0.29599999999999999</v>
      </c>
      <c r="N36" s="175"/>
      <c r="O36" s="175"/>
      <c r="P36" s="176"/>
      <c r="Q36" s="171">
        <f>VLOOKUP(E36&amp;G36&amp;$I$22&amp;$I$6,'&lt;吸収式&gt;マスタ'!$AI$8:$AP$151,8,0)</f>
        <v>0.96</v>
      </c>
      <c r="R36" s="172"/>
      <c r="S36" s="173"/>
      <c r="T36" s="375">
        <f>既存設備!T36</f>
        <v>300</v>
      </c>
      <c r="U36" s="376"/>
      <c r="V36" s="376"/>
      <c r="W36" s="377">
        <f>ROUNDDOWN(AT36*M36*T36*$I$24*'&lt;吸収式&gt;マスタ'!$F$21/$I$19,1)</f>
        <v>9641.5</v>
      </c>
      <c r="X36" s="378"/>
      <c r="Y36" s="378"/>
      <c r="Z36" s="378"/>
      <c r="AA36" s="379"/>
      <c r="AB36" s="145">
        <f>ROUNDDOWN(AT36*M36*T36*$I$24*'&lt;吸収式&gt;マスタ'!$F$21/$I$19,1)*VLOOKUP($I$18,'&lt;吸収式&gt;マスタ'!$F$28:$I$31,3,FALSE)</f>
        <v>9641.5</v>
      </c>
      <c r="AC36" s="146"/>
      <c r="AD36" s="146"/>
      <c r="AE36" s="147"/>
      <c r="AF36" s="365"/>
      <c r="AG36" s="366"/>
      <c r="AH36" s="366"/>
      <c r="AI36" s="366"/>
      <c r="AJ36" s="367"/>
      <c r="AQ36" s="99">
        <f>VLOOKUP(E36&amp;$I$22,'&lt;吸収式&gt;マスタ'!$Z$8:$AB$31,2,0)</f>
        <v>0.29599999999999999</v>
      </c>
      <c r="AR36" s="99">
        <f>VLOOKUP(E36&amp;$I$22,'&lt;吸収式&gt;マスタ'!$Z$8:$AB$31,3,0)</f>
        <v>0</v>
      </c>
      <c r="AT36" s="92">
        <f t="shared" ref="AT36:AT46" si="1">ROUNDDOWN(J36/Q36,1)</f>
        <v>1357.2</v>
      </c>
    </row>
    <row r="37" spans="1:48" ht="15" customHeight="1">
      <c r="B37" s="234"/>
      <c r="C37" s="235"/>
      <c r="D37" s="236"/>
      <c r="E37" s="183">
        <v>6</v>
      </c>
      <c r="F37" s="264"/>
      <c r="G37" s="265" t="str">
        <f>既存設備!G37:I37</f>
        <v>冷房</v>
      </c>
      <c r="H37" s="266"/>
      <c r="I37" s="266"/>
      <c r="J37" s="358">
        <f t="shared" si="0"/>
        <v>1303</v>
      </c>
      <c r="K37" s="358"/>
      <c r="L37" s="358"/>
      <c r="M37" s="174">
        <f>既存設備!M37:P37</f>
        <v>0.435</v>
      </c>
      <c r="N37" s="175"/>
      <c r="O37" s="175"/>
      <c r="P37" s="176"/>
      <c r="Q37" s="171">
        <f>VLOOKUP(E37&amp;G37&amp;$I$22&amp;$I$6,'&lt;吸収式&gt;マスタ'!$AI$8:$AP$151,8,0)</f>
        <v>1.07</v>
      </c>
      <c r="R37" s="172"/>
      <c r="S37" s="173"/>
      <c r="T37" s="375">
        <f>既存設備!T37</f>
        <v>300</v>
      </c>
      <c r="U37" s="376"/>
      <c r="V37" s="376"/>
      <c r="W37" s="377">
        <f>ROUNDDOWN(AT37*M37*T37*$I$24*'&lt;吸収式&gt;マスタ'!$F$21/$I$19,1)</f>
        <v>12712.7</v>
      </c>
      <c r="X37" s="378"/>
      <c r="Y37" s="378"/>
      <c r="Z37" s="378"/>
      <c r="AA37" s="379"/>
      <c r="AB37" s="145">
        <f>ROUNDDOWN(AT37*M37*T37*$I$24*'&lt;吸収式&gt;マスタ'!$F$21/$I$19,1)*VLOOKUP($I$18,'&lt;吸収式&gt;マスタ'!$F$28:$I$31,3,FALSE)</f>
        <v>12712.7</v>
      </c>
      <c r="AC37" s="146"/>
      <c r="AD37" s="146"/>
      <c r="AE37" s="147"/>
      <c r="AF37" s="365"/>
      <c r="AG37" s="366"/>
      <c r="AH37" s="366"/>
      <c r="AI37" s="366"/>
      <c r="AJ37" s="367"/>
      <c r="AQ37" s="99">
        <f>VLOOKUP(E37&amp;$I$22,'&lt;吸収式&gt;マスタ'!$Z$8:$AB$31,2,0)</f>
        <v>0.435</v>
      </c>
      <c r="AR37" s="99">
        <f>VLOOKUP(E37&amp;$I$22,'&lt;吸収式&gt;マスタ'!$Z$8:$AB$31,3,0)</f>
        <v>0</v>
      </c>
      <c r="AT37" s="92">
        <f t="shared" si="1"/>
        <v>1217.7</v>
      </c>
    </row>
    <row r="38" spans="1:48" ht="15" customHeight="1">
      <c r="B38" s="234"/>
      <c r="C38" s="235"/>
      <c r="D38" s="236"/>
      <c r="E38" s="183">
        <v>7</v>
      </c>
      <c r="F38" s="264"/>
      <c r="G38" s="265" t="str">
        <f>既存設備!G38:I38</f>
        <v>冷房</v>
      </c>
      <c r="H38" s="266"/>
      <c r="I38" s="266"/>
      <c r="J38" s="358">
        <f t="shared" si="0"/>
        <v>1303</v>
      </c>
      <c r="K38" s="358"/>
      <c r="L38" s="358"/>
      <c r="M38" s="174">
        <f>既存設備!M38:P38</f>
        <v>0.64100000000000001</v>
      </c>
      <c r="N38" s="175"/>
      <c r="O38" s="175"/>
      <c r="P38" s="176"/>
      <c r="Q38" s="171">
        <f>VLOOKUP(E38&amp;G38&amp;$I$22&amp;$I$6,'&lt;吸収式&gt;マスタ'!$AI$8:$AP$151,8,0)</f>
        <v>1.05</v>
      </c>
      <c r="R38" s="172"/>
      <c r="S38" s="173"/>
      <c r="T38" s="375">
        <f>既存設備!T38</f>
        <v>300</v>
      </c>
      <c r="U38" s="376"/>
      <c r="V38" s="376"/>
      <c r="W38" s="377">
        <f>ROUNDDOWN(AT38*M38*T38*$I$24*'&lt;吸収式&gt;マスタ'!$F$21/$I$19,1)</f>
        <v>19090</v>
      </c>
      <c r="X38" s="378"/>
      <c r="Y38" s="378"/>
      <c r="Z38" s="378"/>
      <c r="AA38" s="379"/>
      <c r="AB38" s="145">
        <f>ROUNDDOWN(AT38*M38*T38*$I$24*'&lt;吸収式&gt;マスタ'!$F$21/$I$19,1)*VLOOKUP($I$18,'&lt;吸収式&gt;マスタ'!$F$28:$I$31,3,FALSE)</f>
        <v>19090</v>
      </c>
      <c r="AC38" s="146"/>
      <c r="AD38" s="146"/>
      <c r="AE38" s="147"/>
      <c r="AF38" s="365"/>
      <c r="AG38" s="366"/>
      <c r="AH38" s="366"/>
      <c r="AI38" s="366"/>
      <c r="AJ38" s="367"/>
      <c r="AQ38" s="99">
        <f>VLOOKUP(E38&amp;$I$22,'&lt;吸収式&gt;マスタ'!$Z$8:$AB$31,2,0)</f>
        <v>0.64100000000000001</v>
      </c>
      <c r="AR38" s="99">
        <f>VLOOKUP(E38&amp;$I$22,'&lt;吸収式&gt;マスタ'!$Z$8:$AB$31,3,0)</f>
        <v>0</v>
      </c>
      <c r="AT38" s="92">
        <f t="shared" si="1"/>
        <v>1240.9000000000001</v>
      </c>
    </row>
    <row r="39" spans="1:48" ht="15" customHeight="1">
      <c r="B39" s="234"/>
      <c r="C39" s="235"/>
      <c r="D39" s="236"/>
      <c r="E39" s="183">
        <v>8</v>
      </c>
      <c r="F39" s="264"/>
      <c r="G39" s="265" t="str">
        <f>既存設備!G39:I39</f>
        <v>冷房</v>
      </c>
      <c r="H39" s="266"/>
      <c r="I39" s="266"/>
      <c r="J39" s="358">
        <f t="shared" si="0"/>
        <v>1303</v>
      </c>
      <c r="K39" s="358"/>
      <c r="L39" s="358"/>
      <c r="M39" s="174">
        <f>既存設備!M39:P39</f>
        <v>0.69299999999999995</v>
      </c>
      <c r="N39" s="175"/>
      <c r="O39" s="175"/>
      <c r="P39" s="176"/>
      <c r="Q39" s="171">
        <f>VLOOKUP(E39&amp;G39&amp;$I$22&amp;$I$6,'&lt;吸収式&gt;マスタ'!$AI$8:$AP$151,8,0)</f>
        <v>1.04</v>
      </c>
      <c r="R39" s="172"/>
      <c r="S39" s="173"/>
      <c r="T39" s="375">
        <f>既存設備!T39</f>
        <v>300</v>
      </c>
      <c r="U39" s="376"/>
      <c r="V39" s="376"/>
      <c r="W39" s="377">
        <f>ROUNDDOWN(AT39*M39*T39*$I$24*'&lt;吸収式&gt;マスタ'!$F$21/$I$19,1)</f>
        <v>20836.5</v>
      </c>
      <c r="X39" s="378"/>
      <c r="Y39" s="378"/>
      <c r="Z39" s="378"/>
      <c r="AA39" s="379"/>
      <c r="AB39" s="145">
        <f>ROUNDDOWN(AT39*M39*T39*$I$24*'&lt;吸収式&gt;マスタ'!$F$21/$I$19,1)*VLOOKUP($I$18,'&lt;吸収式&gt;マスタ'!$F$28:$I$31,3,FALSE)</f>
        <v>20836.5</v>
      </c>
      <c r="AC39" s="146"/>
      <c r="AD39" s="146"/>
      <c r="AE39" s="147"/>
      <c r="AF39" s="365"/>
      <c r="AG39" s="366"/>
      <c r="AH39" s="366"/>
      <c r="AI39" s="366"/>
      <c r="AJ39" s="367"/>
      <c r="AQ39" s="99">
        <f>VLOOKUP(E39&amp;$I$22,'&lt;吸収式&gt;マスタ'!$Z$8:$AB$31,2,0)</f>
        <v>0.69299999999999995</v>
      </c>
      <c r="AR39" s="99">
        <f>VLOOKUP(E39&amp;$I$22,'&lt;吸収式&gt;マスタ'!$Z$8:$AB$31,3,0)</f>
        <v>0</v>
      </c>
      <c r="AT39" s="92">
        <f t="shared" si="1"/>
        <v>1252.8</v>
      </c>
    </row>
    <row r="40" spans="1:48" ht="15" customHeight="1">
      <c r="B40" s="234"/>
      <c r="C40" s="235"/>
      <c r="D40" s="236"/>
      <c r="E40" s="183">
        <v>9</v>
      </c>
      <c r="F40" s="264"/>
      <c r="G40" s="265" t="str">
        <f>既存設備!G40:I40</f>
        <v>冷房</v>
      </c>
      <c r="H40" s="266"/>
      <c r="I40" s="266"/>
      <c r="J40" s="358">
        <f t="shared" si="0"/>
        <v>1303</v>
      </c>
      <c r="K40" s="358"/>
      <c r="L40" s="358"/>
      <c r="M40" s="174">
        <f>既存設備!M40:P40</f>
        <v>0.47</v>
      </c>
      <c r="N40" s="175"/>
      <c r="O40" s="175"/>
      <c r="P40" s="176"/>
      <c r="Q40" s="171">
        <f>VLOOKUP(E40&amp;G40&amp;$I$22&amp;$I$6,'&lt;吸収式&gt;マスタ'!$AI$8:$AP$151,8,0)</f>
        <v>1.07</v>
      </c>
      <c r="R40" s="172"/>
      <c r="S40" s="173"/>
      <c r="T40" s="375">
        <f>既存設備!T40</f>
        <v>300</v>
      </c>
      <c r="U40" s="376"/>
      <c r="V40" s="376"/>
      <c r="W40" s="377">
        <f>ROUNDDOWN(AT40*M40*T40*$I$24*'&lt;吸収式&gt;マスタ'!$F$21/$I$19,1)</f>
        <v>13735.6</v>
      </c>
      <c r="X40" s="378"/>
      <c r="Y40" s="378"/>
      <c r="Z40" s="378"/>
      <c r="AA40" s="379"/>
      <c r="AB40" s="145">
        <f>ROUNDDOWN(AT40*M40*T40*$I$24*'&lt;吸収式&gt;マスタ'!$F$21/$I$19,1)*VLOOKUP($I$18,'&lt;吸収式&gt;マスタ'!$F$28:$I$31,3,FALSE)</f>
        <v>13735.6</v>
      </c>
      <c r="AC40" s="146"/>
      <c r="AD40" s="146"/>
      <c r="AE40" s="147"/>
      <c r="AF40" s="365"/>
      <c r="AG40" s="366"/>
      <c r="AH40" s="366"/>
      <c r="AI40" s="366"/>
      <c r="AJ40" s="367"/>
      <c r="AQ40" s="99">
        <f>VLOOKUP(E40&amp;$I$22,'&lt;吸収式&gt;マスタ'!$Z$8:$AB$31,2,0)</f>
        <v>0.47</v>
      </c>
      <c r="AR40" s="99">
        <f>VLOOKUP(E40&amp;$I$22,'&lt;吸収式&gt;マスタ'!$Z$8:$AB$31,3,0)</f>
        <v>0</v>
      </c>
      <c r="AT40" s="92">
        <f t="shared" si="1"/>
        <v>1217.7</v>
      </c>
    </row>
    <row r="41" spans="1:48" ht="15" customHeight="1">
      <c r="B41" s="234"/>
      <c r="C41" s="235"/>
      <c r="D41" s="236"/>
      <c r="E41" s="183">
        <v>10</v>
      </c>
      <c r="F41" s="264"/>
      <c r="G41" s="265" t="str">
        <f>既存設備!G41:I41</f>
        <v>冷房</v>
      </c>
      <c r="H41" s="266"/>
      <c r="I41" s="266"/>
      <c r="J41" s="358">
        <f t="shared" si="0"/>
        <v>1303</v>
      </c>
      <c r="K41" s="358"/>
      <c r="L41" s="358"/>
      <c r="M41" s="174">
        <f>既存設備!M41:P41</f>
        <v>0.36399999999999999</v>
      </c>
      <c r="N41" s="175"/>
      <c r="O41" s="175"/>
      <c r="P41" s="176"/>
      <c r="Q41" s="171">
        <f>VLOOKUP(E41&amp;G41&amp;$I$22&amp;$I$6,'&lt;吸収式&gt;マスタ'!$AI$8:$AP$151,8,0)</f>
        <v>1.07</v>
      </c>
      <c r="R41" s="172"/>
      <c r="S41" s="173"/>
      <c r="T41" s="375">
        <f>既存設備!T41</f>
        <v>300</v>
      </c>
      <c r="U41" s="376"/>
      <c r="V41" s="376"/>
      <c r="W41" s="377">
        <f>ROUNDDOWN(AT41*M41*T41*$I$24*'&lt;吸収式&gt;マスタ'!$F$21/$I$19,1)</f>
        <v>10637.8</v>
      </c>
      <c r="X41" s="378"/>
      <c r="Y41" s="378"/>
      <c r="Z41" s="378"/>
      <c r="AA41" s="379"/>
      <c r="AB41" s="145">
        <f>ROUNDDOWN(AT41*M41*T41*$I$24*'&lt;吸収式&gt;マスタ'!$F$21/$I$19,1)*VLOOKUP($I$18,'&lt;吸収式&gt;マスタ'!$F$28:$I$31,3,FALSE)</f>
        <v>10637.8</v>
      </c>
      <c r="AC41" s="146"/>
      <c r="AD41" s="146"/>
      <c r="AE41" s="147"/>
      <c r="AF41" s="365"/>
      <c r="AG41" s="366"/>
      <c r="AH41" s="366"/>
      <c r="AI41" s="366"/>
      <c r="AJ41" s="367"/>
      <c r="AQ41" s="99">
        <f>VLOOKUP(E41&amp;$I$22,'&lt;吸収式&gt;マスタ'!$Z$8:$AB$31,2,0)</f>
        <v>0.36399999999999999</v>
      </c>
      <c r="AR41" s="99">
        <f>VLOOKUP(E41&amp;$I$22,'&lt;吸収式&gt;マスタ'!$Z$8:$AB$31,3,0)</f>
        <v>0</v>
      </c>
      <c r="AT41" s="92">
        <f t="shared" si="1"/>
        <v>1217.7</v>
      </c>
    </row>
    <row r="42" spans="1:48" ht="15" customHeight="1">
      <c r="B42" s="234"/>
      <c r="C42" s="235"/>
      <c r="D42" s="236"/>
      <c r="E42" s="183">
        <v>11</v>
      </c>
      <c r="F42" s="264"/>
      <c r="G42" s="265" t="str">
        <f>既存設備!G42:I42</f>
        <v>暖房</v>
      </c>
      <c r="H42" s="266"/>
      <c r="I42" s="266"/>
      <c r="J42" s="358">
        <f t="shared" si="0"/>
        <v>1352</v>
      </c>
      <c r="K42" s="358"/>
      <c r="L42" s="358"/>
      <c r="M42" s="174">
        <f>既存設備!M42:P42</f>
        <v>0.154</v>
      </c>
      <c r="N42" s="175"/>
      <c r="O42" s="175"/>
      <c r="P42" s="176"/>
      <c r="Q42" s="171">
        <f>VLOOKUP(E42&amp;G42&amp;$I$22&amp;$I$6,'&lt;吸収式&gt;マスタ'!$AI$8:$AP$151,8,0)</f>
        <v>0.9</v>
      </c>
      <c r="R42" s="172"/>
      <c r="S42" s="173"/>
      <c r="T42" s="375">
        <f>既存設備!T42</f>
        <v>300</v>
      </c>
      <c r="U42" s="376"/>
      <c r="V42" s="376"/>
      <c r="W42" s="377">
        <f>ROUNDDOWN(AT42*M42*T42*$I$24*'&lt;吸収式&gt;マスタ'!$F$21/$I$19,1)</f>
        <v>5552.1</v>
      </c>
      <c r="X42" s="378"/>
      <c r="Y42" s="378"/>
      <c r="Z42" s="378"/>
      <c r="AA42" s="379"/>
      <c r="AB42" s="145">
        <f>ROUNDDOWN(AT42*M42*T42*$I$24*'&lt;吸収式&gt;マスタ'!$F$21/$I$19,1)*VLOOKUP($I$18,'&lt;吸収式&gt;マスタ'!$F$28:$I$31,3,FALSE)</f>
        <v>5552.1</v>
      </c>
      <c r="AC42" s="146"/>
      <c r="AD42" s="146"/>
      <c r="AE42" s="147"/>
      <c r="AF42" s="365"/>
      <c r="AG42" s="366"/>
      <c r="AH42" s="366"/>
      <c r="AI42" s="366"/>
      <c r="AJ42" s="367"/>
      <c r="AQ42" s="99">
        <f>VLOOKUP(E42&amp;$I$22,'&lt;吸収式&gt;マスタ'!$Z$8:$AB$31,2,0)</f>
        <v>0</v>
      </c>
      <c r="AR42" s="99">
        <f>VLOOKUP(E42&amp;$I$22,'&lt;吸収式&gt;マスタ'!$Z$8:$AB$31,3,0)</f>
        <v>0.154</v>
      </c>
      <c r="AT42" s="92">
        <f t="shared" si="1"/>
        <v>1502.2</v>
      </c>
    </row>
    <row r="43" spans="1:48" ht="15" customHeight="1">
      <c r="B43" s="234"/>
      <c r="C43" s="235"/>
      <c r="D43" s="236"/>
      <c r="E43" s="183">
        <v>12</v>
      </c>
      <c r="F43" s="264"/>
      <c r="G43" s="265" t="str">
        <f>既存設備!G43:I43</f>
        <v>暖房</v>
      </c>
      <c r="H43" s="266"/>
      <c r="I43" s="266"/>
      <c r="J43" s="358">
        <f t="shared" si="0"/>
        <v>1352</v>
      </c>
      <c r="K43" s="358"/>
      <c r="L43" s="358"/>
      <c r="M43" s="174">
        <f>既存設備!M43:P43</f>
        <v>0.371</v>
      </c>
      <c r="N43" s="175"/>
      <c r="O43" s="175"/>
      <c r="P43" s="176"/>
      <c r="Q43" s="171">
        <f>VLOOKUP(E43&amp;G43&amp;$I$22&amp;$I$6,'&lt;吸収式&gt;マスタ'!$AI$8:$AP$151,8,0)</f>
        <v>1</v>
      </c>
      <c r="R43" s="172"/>
      <c r="S43" s="173"/>
      <c r="T43" s="375">
        <f>既存設備!T43</f>
        <v>300</v>
      </c>
      <c r="U43" s="376"/>
      <c r="V43" s="376"/>
      <c r="W43" s="377">
        <f>ROUNDDOWN(AT43*M43*T43*$I$24*'&lt;吸収式&gt;マスタ'!$F$21/$I$19,1)</f>
        <v>12038.2</v>
      </c>
      <c r="X43" s="378"/>
      <c r="Y43" s="378"/>
      <c r="Z43" s="378"/>
      <c r="AA43" s="379"/>
      <c r="AB43" s="145">
        <f>ROUNDDOWN(AT43*M43*T43*$I$24*'&lt;吸収式&gt;マスタ'!$F$21/$I$19,1)*VLOOKUP($I$18,'&lt;吸収式&gt;マスタ'!$F$28:$I$31,3,FALSE)</f>
        <v>12038.2</v>
      </c>
      <c r="AC43" s="146"/>
      <c r="AD43" s="146"/>
      <c r="AE43" s="147"/>
      <c r="AF43" s="365"/>
      <c r="AG43" s="366"/>
      <c r="AH43" s="366"/>
      <c r="AI43" s="366"/>
      <c r="AJ43" s="367"/>
      <c r="AQ43" s="99">
        <f>VLOOKUP(E43&amp;$I$22,'&lt;吸収式&gt;マスタ'!$Z$8:$AB$31,2,0)</f>
        <v>0</v>
      </c>
      <c r="AR43" s="99">
        <f>VLOOKUP(E43&amp;$I$22,'&lt;吸収式&gt;マスタ'!$Z$8:$AB$31,3,0)</f>
        <v>0.371</v>
      </c>
      <c r="AT43" s="92">
        <f t="shared" si="1"/>
        <v>1352</v>
      </c>
    </row>
    <row r="44" spans="1:48" ht="15" customHeight="1">
      <c r="B44" s="234"/>
      <c r="C44" s="235"/>
      <c r="D44" s="236"/>
      <c r="E44" s="183">
        <v>1</v>
      </c>
      <c r="F44" s="264"/>
      <c r="G44" s="265" t="str">
        <f>既存設備!G44:I44</f>
        <v>暖房</v>
      </c>
      <c r="H44" s="266"/>
      <c r="I44" s="266"/>
      <c r="J44" s="358">
        <f t="shared" si="0"/>
        <v>1352</v>
      </c>
      <c r="K44" s="358"/>
      <c r="L44" s="358"/>
      <c r="M44" s="174">
        <f>既存設備!M44:P44</f>
        <v>0.56200000000000006</v>
      </c>
      <c r="N44" s="175"/>
      <c r="O44" s="175"/>
      <c r="P44" s="176"/>
      <c r="Q44" s="171">
        <f>VLOOKUP(E44&amp;G44&amp;$I$22&amp;$I$6,'&lt;吸収式&gt;マスタ'!$AI$8:$AP$151,8,0)</f>
        <v>1</v>
      </c>
      <c r="R44" s="172"/>
      <c r="S44" s="173"/>
      <c r="T44" s="375">
        <f>既存設備!T44</f>
        <v>300</v>
      </c>
      <c r="U44" s="376"/>
      <c r="V44" s="376"/>
      <c r="W44" s="377">
        <f>ROUNDDOWN(AT44*M44*T44*$I$24*'&lt;吸収式&gt;マスタ'!$F$21/$I$19,1)</f>
        <v>18235.7</v>
      </c>
      <c r="X44" s="378"/>
      <c r="Y44" s="378"/>
      <c r="Z44" s="378"/>
      <c r="AA44" s="379"/>
      <c r="AB44" s="145">
        <f>ROUNDDOWN(AT44*M44*T44*$I$24*'&lt;吸収式&gt;マスタ'!$F$21/$I$19,1)*VLOOKUP($I$18,'&lt;吸収式&gt;マスタ'!$F$28:$I$31,3,FALSE)</f>
        <v>18235.7</v>
      </c>
      <c r="AC44" s="146"/>
      <c r="AD44" s="146"/>
      <c r="AE44" s="147"/>
      <c r="AF44" s="365"/>
      <c r="AG44" s="366"/>
      <c r="AH44" s="366"/>
      <c r="AI44" s="366"/>
      <c r="AJ44" s="367"/>
      <c r="AQ44" s="99">
        <f>VLOOKUP(E44&amp;$I$22,'&lt;吸収式&gt;マスタ'!$Z$8:$AB$31,2,0)</f>
        <v>0</v>
      </c>
      <c r="AR44" s="99">
        <f>VLOOKUP(E44&amp;$I$22,'&lt;吸収式&gt;マスタ'!$Z$8:$AB$31,3,0)</f>
        <v>0.56200000000000006</v>
      </c>
      <c r="AT44" s="92">
        <f t="shared" si="1"/>
        <v>1352</v>
      </c>
    </row>
    <row r="45" spans="1:48" ht="15" customHeight="1">
      <c r="A45" s="101"/>
      <c r="B45" s="234"/>
      <c r="C45" s="235"/>
      <c r="D45" s="236"/>
      <c r="E45" s="183">
        <v>2</v>
      </c>
      <c r="F45" s="264"/>
      <c r="G45" s="265" t="str">
        <f>既存設備!G45:I45</f>
        <v>暖房</v>
      </c>
      <c r="H45" s="266"/>
      <c r="I45" s="266"/>
      <c r="J45" s="358">
        <f t="shared" si="0"/>
        <v>1352</v>
      </c>
      <c r="K45" s="358"/>
      <c r="L45" s="358"/>
      <c r="M45" s="174">
        <f>既存設備!M45:P45</f>
        <v>0.56200000000000006</v>
      </c>
      <c r="N45" s="175"/>
      <c r="O45" s="175"/>
      <c r="P45" s="176"/>
      <c r="Q45" s="171">
        <f>VLOOKUP(E45&amp;G45&amp;$I$22&amp;$I$6,'&lt;吸収式&gt;マスタ'!$AI$8:$AP$151,8,0)</f>
        <v>1</v>
      </c>
      <c r="R45" s="172"/>
      <c r="S45" s="173"/>
      <c r="T45" s="375">
        <f>既存設備!T45</f>
        <v>300</v>
      </c>
      <c r="U45" s="376"/>
      <c r="V45" s="376"/>
      <c r="W45" s="377">
        <f>ROUNDDOWN(AT45*M45*T45*$I$24*'&lt;吸収式&gt;マスタ'!$F$21/$I$19,1)</f>
        <v>18235.7</v>
      </c>
      <c r="X45" s="378"/>
      <c r="Y45" s="378"/>
      <c r="Z45" s="378"/>
      <c r="AA45" s="379"/>
      <c r="AB45" s="145">
        <f>ROUNDDOWN(AT45*M45*T45*$I$24*'&lt;吸収式&gt;マスタ'!$F$21/$I$19,1)*VLOOKUP($I$18,'&lt;吸収式&gt;マスタ'!$F$28:$I$31,3,FALSE)</f>
        <v>18235.7</v>
      </c>
      <c r="AC45" s="146"/>
      <c r="AD45" s="146"/>
      <c r="AE45" s="147"/>
      <c r="AF45" s="365"/>
      <c r="AG45" s="366"/>
      <c r="AH45" s="366"/>
      <c r="AI45" s="366"/>
      <c r="AJ45" s="367"/>
      <c r="AQ45" s="99">
        <f>VLOOKUP(E45&amp;$I$22,'&lt;吸収式&gt;マスタ'!$Z$8:$AB$31,2,0)</f>
        <v>0</v>
      </c>
      <c r="AR45" s="99">
        <f>VLOOKUP(E45&amp;$I$22,'&lt;吸収式&gt;マスタ'!$Z$8:$AB$31,3,0)</f>
        <v>0.56200000000000006</v>
      </c>
      <c r="AT45" s="92">
        <f t="shared" si="1"/>
        <v>1352</v>
      </c>
    </row>
    <row r="46" spans="1:48" ht="15" customHeight="1" thickBot="1">
      <c r="A46" s="101"/>
      <c r="B46" s="234"/>
      <c r="C46" s="235"/>
      <c r="D46" s="236"/>
      <c r="E46" s="183">
        <v>3</v>
      </c>
      <c r="F46" s="264"/>
      <c r="G46" s="265" t="str">
        <f>既存設備!G46:I46</f>
        <v>暖房</v>
      </c>
      <c r="H46" s="266"/>
      <c r="I46" s="266"/>
      <c r="J46" s="358">
        <f t="shared" si="0"/>
        <v>1352</v>
      </c>
      <c r="K46" s="358"/>
      <c r="L46" s="358"/>
      <c r="M46" s="174">
        <f>既存設備!M46:P46</f>
        <v>0.27300000000000002</v>
      </c>
      <c r="N46" s="175"/>
      <c r="O46" s="175"/>
      <c r="P46" s="176"/>
      <c r="Q46" s="171">
        <f>VLOOKUP(E46&amp;G46&amp;$I$22&amp;$I$6,'&lt;吸収式&gt;マスタ'!$AI$8:$AP$151,8,0)</f>
        <v>0.9</v>
      </c>
      <c r="R46" s="172"/>
      <c r="S46" s="173"/>
      <c r="T46" s="380">
        <f>既存設備!T46</f>
        <v>300</v>
      </c>
      <c r="U46" s="381"/>
      <c r="V46" s="381"/>
      <c r="W46" s="382">
        <f>ROUNDDOWN(AT46*M46*T46*$I$24*'&lt;吸収式&gt;マスタ'!$F$21/$I$19,1)</f>
        <v>9842.4</v>
      </c>
      <c r="X46" s="383"/>
      <c r="Y46" s="383"/>
      <c r="Z46" s="383"/>
      <c r="AA46" s="384"/>
      <c r="AB46" s="148">
        <f>ROUNDDOWN(AT46*M46*T46*$I$24*'&lt;吸収式&gt;マスタ'!$F$21/$I$19,1)*VLOOKUP($I$18,'&lt;吸収式&gt;マスタ'!$F$28:$I$31,3,FALSE)</f>
        <v>9842.4</v>
      </c>
      <c r="AC46" s="149"/>
      <c r="AD46" s="149"/>
      <c r="AE46" s="150"/>
      <c r="AF46" s="325" t="s">
        <v>245</v>
      </c>
      <c r="AG46" s="325"/>
      <c r="AH46" s="325"/>
      <c r="AI46" s="325"/>
      <c r="AJ46" s="325"/>
      <c r="AK46" s="325"/>
      <c r="AL46" s="325"/>
      <c r="AQ46" s="99">
        <f>VLOOKUP(E46&amp;$I$22,'&lt;吸収式&gt;マスタ'!$Z$8:$AB$31,2,0)</f>
        <v>0</v>
      </c>
      <c r="AR46" s="99">
        <f>VLOOKUP(E46&amp;$I$22,'&lt;吸収式&gt;マスタ'!$Z$8:$AB$31,3,0)</f>
        <v>0.27300000000000002</v>
      </c>
      <c r="AT46" s="92">
        <f t="shared" si="1"/>
        <v>1502.2</v>
      </c>
    </row>
    <row r="47" spans="1:48" s="103" customFormat="1" ht="15" customHeight="1" thickTop="1" thickBot="1">
      <c r="A47" s="101"/>
      <c r="B47" s="237"/>
      <c r="C47" s="238"/>
      <c r="D47" s="239"/>
      <c r="E47" s="282" t="s">
        <v>57</v>
      </c>
      <c r="F47" s="283"/>
      <c r="G47" s="284" t="s">
        <v>137</v>
      </c>
      <c r="H47" s="285"/>
      <c r="I47" s="388"/>
      <c r="J47" s="396" t="s">
        <v>88</v>
      </c>
      <c r="K47" s="396"/>
      <c r="L47" s="396"/>
      <c r="M47" s="330" t="s">
        <v>88</v>
      </c>
      <c r="N47" s="331"/>
      <c r="O47" s="331"/>
      <c r="P47" s="332"/>
      <c r="Q47" s="289" t="s">
        <v>88</v>
      </c>
      <c r="R47" s="290"/>
      <c r="S47" s="333"/>
      <c r="T47" s="397">
        <f>SUM(T35:V46)</f>
        <v>3600</v>
      </c>
      <c r="U47" s="397"/>
      <c r="V47" s="397"/>
      <c r="W47" s="393">
        <f>SUM(W35:AA46)</f>
        <v>156326.6</v>
      </c>
      <c r="X47" s="394"/>
      <c r="Y47" s="394"/>
      <c r="Z47" s="394"/>
      <c r="AA47" s="395"/>
      <c r="AB47" s="151">
        <f>SUM(AB35:AE46)</f>
        <v>156326.6</v>
      </c>
      <c r="AC47" s="152"/>
      <c r="AD47" s="152"/>
      <c r="AE47" s="153"/>
      <c r="AF47" s="325"/>
      <c r="AG47" s="325"/>
      <c r="AH47" s="325"/>
      <c r="AI47" s="325"/>
      <c r="AJ47" s="325"/>
      <c r="AK47" s="325"/>
      <c r="AL47" s="325"/>
      <c r="AM47" s="50"/>
      <c r="AN47" s="50"/>
      <c r="AO47" s="50"/>
      <c r="AP47" s="50"/>
      <c r="AQ47" s="50"/>
      <c r="AR47" s="50"/>
      <c r="AS47" s="50"/>
      <c r="AV47" s="129"/>
    </row>
    <row r="48" spans="1:48" s="103" customFormat="1" ht="15" customHeight="1" thickTop="1">
      <c r="A48" s="101"/>
      <c r="B48" s="50" t="str">
        <f>既存設備!B48</f>
        <v>指定負荷率使用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56"/>
      <c r="AC48" s="56"/>
      <c r="AD48" s="56"/>
      <c r="AE48" s="56"/>
      <c r="AF48" s="325"/>
      <c r="AG48" s="325"/>
      <c r="AH48" s="325"/>
      <c r="AI48" s="325"/>
      <c r="AJ48" s="325"/>
      <c r="AK48" s="325"/>
      <c r="AL48" s="325"/>
      <c r="AM48" s="50"/>
      <c r="AN48" s="50"/>
      <c r="AO48" s="50"/>
      <c r="AP48" s="50"/>
      <c r="AQ48" s="50"/>
      <c r="AR48" s="50"/>
      <c r="AS48" s="50"/>
      <c r="AV48" s="129"/>
    </row>
    <row r="49" spans="1:48" s="103" customFormat="1" ht="3" customHeight="1">
      <c r="A49" s="10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34"/>
      <c r="AC49" s="134"/>
      <c r="AD49" s="134"/>
      <c r="AE49" s="134"/>
      <c r="AF49" s="325"/>
      <c r="AG49" s="325"/>
      <c r="AH49" s="325"/>
      <c r="AI49" s="325"/>
      <c r="AJ49" s="325"/>
      <c r="AK49" s="325"/>
      <c r="AL49" s="325"/>
      <c r="AM49" s="50"/>
      <c r="AN49" s="50"/>
      <c r="AO49" s="50"/>
      <c r="AP49" s="50"/>
      <c r="AQ49" s="50"/>
      <c r="AR49" s="50"/>
      <c r="AS49" s="50"/>
      <c r="AV49" s="129"/>
    </row>
    <row r="50" spans="1:48" s="103" customFormat="1" ht="12" customHeight="1">
      <c r="A50" s="50" t="s">
        <v>179</v>
      </c>
      <c r="B50" s="56"/>
      <c r="C50" s="56"/>
      <c r="D50" s="56"/>
      <c r="E50" s="104"/>
      <c r="F50" s="104"/>
      <c r="G50" s="70"/>
      <c r="H50" s="70"/>
      <c r="I50" s="70"/>
      <c r="J50" s="104"/>
      <c r="K50" s="70"/>
      <c r="L50" s="70"/>
      <c r="M50" s="70"/>
      <c r="N50" s="70"/>
      <c r="O50" s="70"/>
      <c r="P50" s="70"/>
      <c r="Q50" s="70"/>
      <c r="R50" s="70"/>
      <c r="S50" s="70"/>
      <c r="T50" s="105"/>
      <c r="U50" s="105"/>
      <c r="V50" s="105"/>
      <c r="W50" s="70"/>
      <c r="X50" s="70"/>
      <c r="Y50" s="70"/>
      <c r="Z50" s="70"/>
      <c r="AA50" s="70"/>
      <c r="AB50" s="135"/>
      <c r="AC50" s="135"/>
      <c r="AD50" s="135"/>
      <c r="AE50" s="135"/>
      <c r="AF50" s="325"/>
      <c r="AG50" s="325"/>
      <c r="AH50" s="325"/>
      <c r="AI50" s="325"/>
      <c r="AJ50" s="325"/>
      <c r="AK50" s="325"/>
      <c r="AL50" s="325"/>
      <c r="AM50" s="50"/>
      <c r="AN50" s="50"/>
      <c r="AO50" s="50"/>
      <c r="AP50" s="50"/>
      <c r="AQ50" s="50"/>
      <c r="AR50" s="50"/>
      <c r="AS50" s="50"/>
    </row>
    <row r="51" spans="1:48" s="103" customFormat="1" ht="15" customHeight="1">
      <c r="A51" s="50"/>
      <c r="B51" s="231" t="s">
        <v>91</v>
      </c>
      <c r="C51" s="232"/>
      <c r="D51" s="233"/>
      <c r="E51" s="202" t="s">
        <v>55</v>
      </c>
      <c r="F51" s="204"/>
      <c r="G51" s="202" t="s">
        <v>13</v>
      </c>
      <c r="H51" s="203"/>
      <c r="I51" s="204"/>
      <c r="J51" s="202" t="s">
        <v>94</v>
      </c>
      <c r="K51" s="203"/>
      <c r="L51" s="203"/>
      <c r="M51" s="203"/>
      <c r="N51" s="203"/>
      <c r="O51" s="203"/>
      <c r="P51" s="203"/>
      <c r="Q51" s="203"/>
      <c r="R51" s="203"/>
      <c r="S51" s="204"/>
      <c r="T51" s="389" t="s">
        <v>107</v>
      </c>
      <c r="U51" s="296"/>
      <c r="V51" s="297"/>
      <c r="W51" s="202" t="s">
        <v>134</v>
      </c>
      <c r="X51" s="203"/>
      <c r="Y51" s="203"/>
      <c r="Z51" s="203"/>
      <c r="AA51" s="204"/>
      <c r="AB51" s="135"/>
      <c r="AC51" s="135"/>
      <c r="AD51" s="137"/>
      <c r="AE51" s="137"/>
      <c r="AF51" s="325"/>
      <c r="AG51" s="325"/>
      <c r="AH51" s="325"/>
      <c r="AI51" s="325"/>
      <c r="AJ51" s="325"/>
      <c r="AK51" s="325"/>
      <c r="AL51" s="325"/>
      <c r="AM51" s="50"/>
      <c r="AN51" s="50"/>
      <c r="AO51" s="50"/>
      <c r="AP51" s="50"/>
      <c r="AQ51" s="50"/>
      <c r="AR51" s="50"/>
      <c r="AS51" s="50"/>
    </row>
    <row r="52" spans="1:48" s="103" customFormat="1" ht="15" customHeight="1" thickBot="1">
      <c r="A52" s="50"/>
      <c r="B52" s="234"/>
      <c r="C52" s="235"/>
      <c r="D52" s="236"/>
      <c r="E52" s="214"/>
      <c r="F52" s="216"/>
      <c r="G52" s="214"/>
      <c r="H52" s="215"/>
      <c r="I52" s="216"/>
      <c r="J52" s="214" t="s">
        <v>131</v>
      </c>
      <c r="K52" s="215"/>
      <c r="L52" s="215"/>
      <c r="M52" s="215"/>
      <c r="N52" s="215"/>
      <c r="O52" s="215"/>
      <c r="P52" s="215"/>
      <c r="Q52" s="215"/>
      <c r="R52" s="215"/>
      <c r="S52" s="216"/>
      <c r="T52" s="302" t="s">
        <v>132</v>
      </c>
      <c r="U52" s="303"/>
      <c r="V52" s="304"/>
      <c r="W52" s="369" t="s">
        <v>130</v>
      </c>
      <c r="X52" s="370"/>
      <c r="Y52" s="370"/>
      <c r="Z52" s="370"/>
      <c r="AA52" s="371"/>
      <c r="AB52" s="135"/>
      <c r="AC52" s="135"/>
      <c r="AD52" s="137"/>
      <c r="AE52" s="137"/>
      <c r="AF52" s="301"/>
      <c r="AG52" s="301"/>
      <c r="AH52" s="301"/>
      <c r="AI52" s="301"/>
      <c r="AJ52" s="301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</row>
    <row r="53" spans="1:48" s="103" customFormat="1" ht="15" customHeight="1" thickTop="1">
      <c r="A53" s="50"/>
      <c r="B53" s="234"/>
      <c r="C53" s="235"/>
      <c r="D53" s="236"/>
      <c r="E53" s="183">
        <v>4</v>
      </c>
      <c r="F53" s="264"/>
      <c r="G53" s="265" t="str">
        <f t="shared" ref="G53:G64" si="2">G35</f>
        <v>暖房</v>
      </c>
      <c r="H53" s="266"/>
      <c r="I53" s="266"/>
      <c r="J53" s="386">
        <f>IF(G53="冷房",$AT$28,0)</f>
        <v>0</v>
      </c>
      <c r="K53" s="146"/>
      <c r="L53" s="146"/>
      <c r="M53" s="146"/>
      <c r="N53" s="146"/>
      <c r="O53" s="146"/>
      <c r="P53" s="146"/>
      <c r="Q53" s="146"/>
      <c r="R53" s="146"/>
      <c r="S53" s="387"/>
      <c r="T53" s="270">
        <f>T35</f>
        <v>300</v>
      </c>
      <c r="U53" s="271"/>
      <c r="V53" s="271"/>
      <c r="W53" s="372">
        <f t="shared" ref="W53:W64" si="3">ROUNDDOWN(J53*T53*$I$24,1)</f>
        <v>0</v>
      </c>
      <c r="X53" s="373"/>
      <c r="Y53" s="373"/>
      <c r="Z53" s="373"/>
      <c r="AA53" s="374"/>
      <c r="AB53" s="135"/>
      <c r="AC53" s="135"/>
      <c r="AD53" s="137"/>
      <c r="AE53" s="137"/>
      <c r="AF53" s="385"/>
      <c r="AG53" s="385"/>
      <c r="AH53" s="385"/>
      <c r="AI53" s="385"/>
      <c r="AJ53" s="385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</row>
    <row r="54" spans="1:48" s="103" customFormat="1" ht="15" customHeight="1">
      <c r="A54" s="50"/>
      <c r="B54" s="234"/>
      <c r="C54" s="235"/>
      <c r="D54" s="236"/>
      <c r="E54" s="183">
        <v>5</v>
      </c>
      <c r="F54" s="264"/>
      <c r="G54" s="265" t="str">
        <f t="shared" si="2"/>
        <v>冷房</v>
      </c>
      <c r="H54" s="266"/>
      <c r="I54" s="266"/>
      <c r="J54" s="386">
        <f t="shared" ref="J54:J64" si="4">IF(G54="冷房",$AT$28,0)</f>
        <v>21.3</v>
      </c>
      <c r="K54" s="146"/>
      <c r="L54" s="146"/>
      <c r="M54" s="146"/>
      <c r="N54" s="146"/>
      <c r="O54" s="146"/>
      <c r="P54" s="146"/>
      <c r="Q54" s="146"/>
      <c r="R54" s="146"/>
      <c r="S54" s="387"/>
      <c r="T54" s="270">
        <f t="shared" ref="T54:T64" si="5">T36</f>
        <v>300</v>
      </c>
      <c r="U54" s="271"/>
      <c r="V54" s="271"/>
      <c r="W54" s="377">
        <f t="shared" si="3"/>
        <v>6390</v>
      </c>
      <c r="X54" s="378"/>
      <c r="Y54" s="378"/>
      <c r="Z54" s="378"/>
      <c r="AA54" s="379"/>
      <c r="AB54" s="135"/>
      <c r="AC54" s="135"/>
      <c r="AD54" s="137"/>
      <c r="AE54" s="137"/>
      <c r="AF54" s="385"/>
      <c r="AG54" s="385"/>
      <c r="AH54" s="385"/>
      <c r="AI54" s="385"/>
      <c r="AJ54" s="385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</row>
    <row r="55" spans="1:48" ht="15" customHeight="1">
      <c r="B55" s="234"/>
      <c r="C55" s="235"/>
      <c r="D55" s="236"/>
      <c r="E55" s="183">
        <v>6</v>
      </c>
      <c r="F55" s="264"/>
      <c r="G55" s="265" t="str">
        <f t="shared" si="2"/>
        <v>冷房</v>
      </c>
      <c r="H55" s="266"/>
      <c r="I55" s="266"/>
      <c r="J55" s="386">
        <f t="shared" si="4"/>
        <v>21.3</v>
      </c>
      <c r="K55" s="146"/>
      <c r="L55" s="146"/>
      <c r="M55" s="146"/>
      <c r="N55" s="146"/>
      <c r="O55" s="146"/>
      <c r="P55" s="146"/>
      <c r="Q55" s="146"/>
      <c r="R55" s="146"/>
      <c r="S55" s="387"/>
      <c r="T55" s="270">
        <f t="shared" si="5"/>
        <v>300</v>
      </c>
      <c r="U55" s="271"/>
      <c r="V55" s="271"/>
      <c r="W55" s="377">
        <f t="shared" si="3"/>
        <v>6390</v>
      </c>
      <c r="X55" s="378"/>
      <c r="Y55" s="378"/>
      <c r="Z55" s="378"/>
      <c r="AA55" s="379"/>
      <c r="AB55" s="135"/>
      <c r="AC55" s="135"/>
      <c r="AD55" s="137"/>
      <c r="AE55" s="137"/>
      <c r="AF55" s="385"/>
      <c r="AG55" s="385"/>
      <c r="AH55" s="385"/>
      <c r="AI55" s="385"/>
      <c r="AJ55" s="385"/>
    </row>
    <row r="56" spans="1:48" ht="15" customHeight="1">
      <c r="B56" s="234"/>
      <c r="C56" s="235"/>
      <c r="D56" s="236"/>
      <c r="E56" s="183">
        <v>7</v>
      </c>
      <c r="F56" s="264"/>
      <c r="G56" s="265" t="str">
        <f t="shared" si="2"/>
        <v>冷房</v>
      </c>
      <c r="H56" s="266"/>
      <c r="I56" s="266"/>
      <c r="J56" s="386">
        <f t="shared" si="4"/>
        <v>21.3</v>
      </c>
      <c r="K56" s="146"/>
      <c r="L56" s="146"/>
      <c r="M56" s="146"/>
      <c r="N56" s="146"/>
      <c r="O56" s="146"/>
      <c r="P56" s="146"/>
      <c r="Q56" s="146"/>
      <c r="R56" s="146"/>
      <c r="S56" s="387"/>
      <c r="T56" s="270">
        <f t="shared" si="5"/>
        <v>300</v>
      </c>
      <c r="U56" s="271"/>
      <c r="V56" s="271"/>
      <c r="W56" s="377">
        <f t="shared" si="3"/>
        <v>6390</v>
      </c>
      <c r="X56" s="378"/>
      <c r="Y56" s="378"/>
      <c r="Z56" s="378"/>
      <c r="AA56" s="379"/>
      <c r="AB56" s="135"/>
      <c r="AC56" s="135"/>
      <c r="AD56" s="137"/>
      <c r="AE56" s="137"/>
      <c r="AF56" s="385"/>
      <c r="AG56" s="385"/>
      <c r="AH56" s="385"/>
      <c r="AI56" s="385"/>
      <c r="AJ56" s="385"/>
    </row>
    <row r="57" spans="1:48" s="103" customFormat="1" ht="15" customHeight="1">
      <c r="A57" s="50"/>
      <c r="B57" s="234"/>
      <c r="C57" s="235"/>
      <c r="D57" s="236"/>
      <c r="E57" s="183">
        <v>8</v>
      </c>
      <c r="F57" s="264"/>
      <c r="G57" s="265" t="str">
        <f t="shared" si="2"/>
        <v>冷房</v>
      </c>
      <c r="H57" s="266"/>
      <c r="I57" s="266"/>
      <c r="J57" s="386">
        <f>IF(G57="冷房",$AT$28,0)</f>
        <v>21.3</v>
      </c>
      <c r="K57" s="146"/>
      <c r="L57" s="146"/>
      <c r="M57" s="146"/>
      <c r="N57" s="146"/>
      <c r="O57" s="146"/>
      <c r="P57" s="146"/>
      <c r="Q57" s="146"/>
      <c r="R57" s="146"/>
      <c r="S57" s="387"/>
      <c r="T57" s="270">
        <f t="shared" si="5"/>
        <v>300</v>
      </c>
      <c r="U57" s="271"/>
      <c r="V57" s="271"/>
      <c r="W57" s="377">
        <f t="shared" si="3"/>
        <v>6390</v>
      </c>
      <c r="X57" s="378"/>
      <c r="Y57" s="378"/>
      <c r="Z57" s="378"/>
      <c r="AA57" s="379"/>
      <c r="AB57" s="135"/>
      <c r="AC57" s="135"/>
      <c r="AD57" s="137"/>
      <c r="AE57" s="137"/>
      <c r="AF57" s="385"/>
      <c r="AG57" s="385"/>
      <c r="AH57" s="385"/>
      <c r="AI57" s="385"/>
      <c r="AJ57" s="385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</row>
    <row r="58" spans="1:48" s="103" customFormat="1" ht="15" customHeight="1">
      <c r="A58" s="50"/>
      <c r="B58" s="234"/>
      <c r="C58" s="235"/>
      <c r="D58" s="236"/>
      <c r="E58" s="183">
        <v>9</v>
      </c>
      <c r="F58" s="264"/>
      <c r="G58" s="265" t="str">
        <f t="shared" si="2"/>
        <v>冷房</v>
      </c>
      <c r="H58" s="266"/>
      <c r="I58" s="266"/>
      <c r="J58" s="386">
        <f t="shared" si="4"/>
        <v>21.3</v>
      </c>
      <c r="K58" s="146"/>
      <c r="L58" s="146"/>
      <c r="M58" s="146"/>
      <c r="N58" s="146"/>
      <c r="O58" s="146"/>
      <c r="P58" s="146"/>
      <c r="Q58" s="146"/>
      <c r="R58" s="146"/>
      <c r="S58" s="387"/>
      <c r="T58" s="270">
        <f t="shared" si="5"/>
        <v>300</v>
      </c>
      <c r="U58" s="271"/>
      <c r="V58" s="271"/>
      <c r="W58" s="377">
        <f t="shared" si="3"/>
        <v>6390</v>
      </c>
      <c r="X58" s="378"/>
      <c r="Y58" s="378"/>
      <c r="Z58" s="378"/>
      <c r="AA58" s="379"/>
      <c r="AB58" s="135"/>
      <c r="AC58" s="135"/>
      <c r="AD58" s="137"/>
      <c r="AE58" s="137"/>
      <c r="AF58" s="385"/>
      <c r="AG58" s="385"/>
      <c r="AH58" s="385"/>
      <c r="AI58" s="385"/>
      <c r="AJ58" s="385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</row>
    <row r="59" spans="1:48" s="103" customFormat="1" ht="15" customHeight="1">
      <c r="A59" s="50"/>
      <c r="B59" s="234"/>
      <c r="C59" s="235"/>
      <c r="D59" s="236"/>
      <c r="E59" s="183">
        <v>10</v>
      </c>
      <c r="F59" s="264"/>
      <c r="G59" s="265" t="str">
        <f t="shared" si="2"/>
        <v>冷房</v>
      </c>
      <c r="H59" s="266"/>
      <c r="I59" s="266"/>
      <c r="J59" s="386">
        <f t="shared" si="4"/>
        <v>21.3</v>
      </c>
      <c r="K59" s="146"/>
      <c r="L59" s="146"/>
      <c r="M59" s="146"/>
      <c r="N59" s="146"/>
      <c r="O59" s="146"/>
      <c r="P59" s="146"/>
      <c r="Q59" s="146"/>
      <c r="R59" s="146"/>
      <c r="S59" s="387"/>
      <c r="T59" s="270">
        <f t="shared" si="5"/>
        <v>300</v>
      </c>
      <c r="U59" s="271"/>
      <c r="V59" s="271"/>
      <c r="W59" s="377">
        <f t="shared" si="3"/>
        <v>6390</v>
      </c>
      <c r="X59" s="378"/>
      <c r="Y59" s="378"/>
      <c r="Z59" s="378"/>
      <c r="AA59" s="379"/>
      <c r="AB59" s="135"/>
      <c r="AC59" s="135"/>
      <c r="AD59" s="137"/>
      <c r="AE59" s="137"/>
      <c r="AF59" s="385"/>
      <c r="AG59" s="385"/>
      <c r="AH59" s="385"/>
      <c r="AI59" s="385"/>
      <c r="AJ59" s="385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</row>
    <row r="60" spans="1:48" s="103" customFormat="1" ht="15" customHeight="1">
      <c r="A60" s="50"/>
      <c r="B60" s="234"/>
      <c r="C60" s="235"/>
      <c r="D60" s="236"/>
      <c r="E60" s="183">
        <v>11</v>
      </c>
      <c r="F60" s="264"/>
      <c r="G60" s="265" t="str">
        <f t="shared" si="2"/>
        <v>暖房</v>
      </c>
      <c r="H60" s="266"/>
      <c r="I60" s="266"/>
      <c r="J60" s="386">
        <f t="shared" si="4"/>
        <v>0</v>
      </c>
      <c r="K60" s="146"/>
      <c r="L60" s="146"/>
      <c r="M60" s="146"/>
      <c r="N60" s="146"/>
      <c r="O60" s="146"/>
      <c r="P60" s="146"/>
      <c r="Q60" s="146"/>
      <c r="R60" s="146"/>
      <c r="S60" s="387"/>
      <c r="T60" s="270">
        <f t="shared" si="5"/>
        <v>300</v>
      </c>
      <c r="U60" s="271"/>
      <c r="V60" s="271"/>
      <c r="W60" s="377">
        <f t="shared" si="3"/>
        <v>0</v>
      </c>
      <c r="X60" s="378"/>
      <c r="Y60" s="378"/>
      <c r="Z60" s="378"/>
      <c r="AA60" s="379"/>
      <c r="AB60" s="135"/>
      <c r="AC60" s="135"/>
      <c r="AD60" s="137"/>
      <c r="AE60" s="137"/>
      <c r="AF60" s="385"/>
      <c r="AG60" s="385"/>
      <c r="AH60" s="385"/>
      <c r="AI60" s="385"/>
      <c r="AJ60" s="385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</row>
    <row r="61" spans="1:48" s="103" customFormat="1" ht="15" customHeight="1">
      <c r="A61" s="50"/>
      <c r="B61" s="234"/>
      <c r="C61" s="235"/>
      <c r="D61" s="236"/>
      <c r="E61" s="183">
        <v>12</v>
      </c>
      <c r="F61" s="264"/>
      <c r="G61" s="265" t="str">
        <f t="shared" si="2"/>
        <v>暖房</v>
      </c>
      <c r="H61" s="266"/>
      <c r="I61" s="266"/>
      <c r="J61" s="386">
        <f t="shared" si="4"/>
        <v>0</v>
      </c>
      <c r="K61" s="146"/>
      <c r="L61" s="146"/>
      <c r="M61" s="146"/>
      <c r="N61" s="146"/>
      <c r="O61" s="146"/>
      <c r="P61" s="146"/>
      <c r="Q61" s="146"/>
      <c r="R61" s="146"/>
      <c r="S61" s="387"/>
      <c r="T61" s="270">
        <f t="shared" si="5"/>
        <v>300</v>
      </c>
      <c r="U61" s="271"/>
      <c r="V61" s="271"/>
      <c r="W61" s="377">
        <f t="shared" si="3"/>
        <v>0</v>
      </c>
      <c r="X61" s="378"/>
      <c r="Y61" s="378"/>
      <c r="Z61" s="378"/>
      <c r="AA61" s="379"/>
      <c r="AB61" s="135"/>
      <c r="AC61" s="135"/>
      <c r="AD61" s="137"/>
      <c r="AE61" s="137"/>
      <c r="AF61" s="385"/>
      <c r="AG61" s="385"/>
      <c r="AH61" s="385"/>
      <c r="AI61" s="385"/>
      <c r="AJ61" s="385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</row>
    <row r="62" spans="1:48" s="103" customFormat="1" ht="15" customHeight="1">
      <c r="A62" s="50"/>
      <c r="B62" s="234"/>
      <c r="C62" s="235"/>
      <c r="D62" s="236"/>
      <c r="E62" s="183">
        <v>1</v>
      </c>
      <c r="F62" s="264"/>
      <c r="G62" s="265" t="str">
        <f t="shared" si="2"/>
        <v>暖房</v>
      </c>
      <c r="H62" s="266"/>
      <c r="I62" s="266"/>
      <c r="J62" s="386">
        <f>IF(G62="冷房",$AT$28,0)</f>
        <v>0</v>
      </c>
      <c r="K62" s="146"/>
      <c r="L62" s="146"/>
      <c r="M62" s="146"/>
      <c r="N62" s="146"/>
      <c r="O62" s="146"/>
      <c r="P62" s="146"/>
      <c r="Q62" s="146"/>
      <c r="R62" s="146"/>
      <c r="S62" s="387"/>
      <c r="T62" s="270">
        <f t="shared" si="5"/>
        <v>300</v>
      </c>
      <c r="U62" s="271"/>
      <c r="V62" s="271"/>
      <c r="W62" s="377">
        <f t="shared" si="3"/>
        <v>0</v>
      </c>
      <c r="X62" s="378"/>
      <c r="Y62" s="378"/>
      <c r="Z62" s="378"/>
      <c r="AA62" s="379"/>
      <c r="AB62" s="135"/>
      <c r="AC62" s="135"/>
      <c r="AD62" s="137"/>
      <c r="AE62" s="137"/>
      <c r="AF62" s="385"/>
      <c r="AG62" s="385"/>
      <c r="AH62" s="385"/>
      <c r="AI62" s="385"/>
      <c r="AJ62" s="385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</row>
    <row r="63" spans="1:48" s="103" customFormat="1" ht="15" customHeight="1">
      <c r="A63" s="50"/>
      <c r="B63" s="234"/>
      <c r="C63" s="235"/>
      <c r="D63" s="236"/>
      <c r="E63" s="183">
        <v>2</v>
      </c>
      <c r="F63" s="264"/>
      <c r="G63" s="265" t="str">
        <f t="shared" si="2"/>
        <v>暖房</v>
      </c>
      <c r="H63" s="266"/>
      <c r="I63" s="266"/>
      <c r="J63" s="386">
        <f t="shared" si="4"/>
        <v>0</v>
      </c>
      <c r="K63" s="146"/>
      <c r="L63" s="146"/>
      <c r="M63" s="146"/>
      <c r="N63" s="146"/>
      <c r="O63" s="146"/>
      <c r="P63" s="146"/>
      <c r="Q63" s="146"/>
      <c r="R63" s="146"/>
      <c r="S63" s="387"/>
      <c r="T63" s="270">
        <f t="shared" si="5"/>
        <v>300</v>
      </c>
      <c r="U63" s="271"/>
      <c r="V63" s="271"/>
      <c r="W63" s="377">
        <f t="shared" si="3"/>
        <v>0</v>
      </c>
      <c r="X63" s="378"/>
      <c r="Y63" s="378"/>
      <c r="Z63" s="378"/>
      <c r="AA63" s="379"/>
      <c r="AB63" s="136"/>
      <c r="AC63" s="136"/>
      <c r="AD63" s="141"/>
      <c r="AE63" s="141"/>
      <c r="AF63" s="385"/>
      <c r="AG63" s="385"/>
      <c r="AH63" s="385"/>
      <c r="AI63" s="385"/>
      <c r="AJ63" s="385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</row>
    <row r="64" spans="1:48" s="103" customFormat="1" ht="15" customHeight="1" thickBot="1">
      <c r="A64" s="50"/>
      <c r="B64" s="234"/>
      <c r="C64" s="235"/>
      <c r="D64" s="236"/>
      <c r="E64" s="183">
        <v>3</v>
      </c>
      <c r="F64" s="264"/>
      <c r="G64" s="265" t="str">
        <f t="shared" si="2"/>
        <v>暖房</v>
      </c>
      <c r="H64" s="266"/>
      <c r="I64" s="266"/>
      <c r="J64" s="386">
        <f t="shared" si="4"/>
        <v>0</v>
      </c>
      <c r="K64" s="146"/>
      <c r="L64" s="146"/>
      <c r="M64" s="146"/>
      <c r="N64" s="146"/>
      <c r="O64" s="146"/>
      <c r="P64" s="146"/>
      <c r="Q64" s="146"/>
      <c r="R64" s="146"/>
      <c r="S64" s="387"/>
      <c r="T64" s="309">
        <f t="shared" si="5"/>
        <v>300</v>
      </c>
      <c r="U64" s="310"/>
      <c r="V64" s="310"/>
      <c r="W64" s="382">
        <f t="shared" si="3"/>
        <v>0</v>
      </c>
      <c r="X64" s="383"/>
      <c r="Y64" s="383"/>
      <c r="Z64" s="383"/>
      <c r="AA64" s="384"/>
      <c r="AB64" s="136"/>
      <c r="AC64" s="136"/>
      <c r="AD64" s="141"/>
      <c r="AE64" s="141"/>
      <c r="AF64" s="385"/>
      <c r="AG64" s="385"/>
      <c r="AH64" s="385"/>
      <c r="AI64" s="385"/>
      <c r="AJ64" s="385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</row>
    <row r="65" spans="1:47" s="103" customFormat="1" ht="15" customHeight="1" thickTop="1" thickBot="1">
      <c r="A65" s="50"/>
      <c r="B65" s="237"/>
      <c r="C65" s="238"/>
      <c r="D65" s="239"/>
      <c r="E65" s="282" t="s">
        <v>57</v>
      </c>
      <c r="F65" s="283"/>
      <c r="G65" s="284" t="s">
        <v>88</v>
      </c>
      <c r="H65" s="285"/>
      <c r="I65" s="388"/>
      <c r="J65" s="398" t="s">
        <v>88</v>
      </c>
      <c r="K65" s="399"/>
      <c r="L65" s="399"/>
      <c r="M65" s="399"/>
      <c r="N65" s="399"/>
      <c r="O65" s="399"/>
      <c r="P65" s="399"/>
      <c r="Q65" s="399"/>
      <c r="R65" s="399"/>
      <c r="S65" s="400"/>
      <c r="T65" s="289">
        <f>SUM(T53:V64)</f>
        <v>3600</v>
      </c>
      <c r="U65" s="290"/>
      <c r="V65" s="290"/>
      <c r="W65" s="390">
        <f>SUM(W53:AA64)</f>
        <v>38340</v>
      </c>
      <c r="X65" s="391"/>
      <c r="Y65" s="391"/>
      <c r="Z65" s="391"/>
      <c r="AA65" s="392"/>
      <c r="AB65" s="50"/>
      <c r="AC65" s="50"/>
      <c r="AD65" s="97"/>
      <c r="AE65" s="97"/>
      <c r="AF65" s="294"/>
      <c r="AG65" s="294"/>
      <c r="AH65" s="294"/>
      <c r="AI65" s="294"/>
      <c r="AJ65" s="294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</row>
    <row r="66" spans="1:47" s="103" customFormat="1" ht="15" customHeight="1" thickTop="1">
      <c r="A66" s="50"/>
      <c r="C66" s="50"/>
      <c r="D66" s="50"/>
      <c r="E66" s="50"/>
      <c r="F66" s="50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50"/>
      <c r="AC66" s="50"/>
      <c r="AD66" s="97"/>
      <c r="AE66" s="97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</row>
    <row r="67" spans="1:47" s="50" customFormat="1" ht="14.4">
      <c r="A67" s="101"/>
      <c r="B67" s="159"/>
      <c r="C67" s="159"/>
      <c r="D67" s="88"/>
      <c r="E67" s="88"/>
      <c r="F67" s="88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F67" s="130"/>
      <c r="AG67" s="130"/>
      <c r="AH67" s="130"/>
      <c r="AI67" s="130"/>
      <c r="AJ67" s="130"/>
      <c r="AQ67" s="143"/>
    </row>
    <row r="68" spans="1:47" s="103" customFormat="1" ht="1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</row>
    <row r="69" spans="1:47" s="103" customFormat="1" ht="1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</row>
    <row r="70" spans="1:47" s="103" customFormat="1" ht="1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</row>
    <row r="71" spans="1:47" s="103" customFormat="1" ht="1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</row>
    <row r="72" spans="1:47" s="103" customFormat="1" ht="1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</row>
    <row r="73" spans="1:47" s="103" customFormat="1" ht="1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</row>
    <row r="74" spans="1:47" s="103" customFormat="1" ht="1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</row>
    <row r="75" spans="1:47" s="103" customFormat="1" ht="13.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</row>
    <row r="76" spans="1:47" s="103" customFormat="1" ht="1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</row>
    <row r="79" spans="1:47" s="103" customFormat="1" ht="1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</row>
    <row r="80" spans="1:47" s="103" customFormat="1" ht="1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</row>
    <row r="81" spans="1:47" s="103" customFormat="1" ht="1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</row>
    <row r="82" spans="1:47" s="103" customFormat="1" ht="1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</row>
    <row r="83" spans="1:47" s="103" customFormat="1" ht="1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</row>
    <row r="84" spans="1:47" s="103" customFormat="1" ht="1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</row>
    <row r="85" spans="1:47" s="103" customFormat="1" ht="1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</row>
    <row r="86" spans="1:47" s="103" customFormat="1" ht="1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</row>
    <row r="87" spans="1:47" s="103" customFormat="1" ht="1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</row>
    <row r="88" spans="1:47" s="103" customFormat="1" ht="1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</row>
    <row r="89" spans="1:47" s="103" customFormat="1" ht="12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</row>
    <row r="90" spans="1:47" s="103" customFormat="1" ht="12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</row>
    <row r="91" spans="1:47" s="103" customFormat="1" ht="12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</row>
    <row r="106" s="50" customFormat="1" ht="13.5" customHeight="1"/>
    <row r="121" s="50" customFormat="1" ht="13.5" customHeight="1"/>
    <row r="141" s="50" customFormat="1" ht="13.5" customHeight="1"/>
    <row r="143" s="50" customFormat="1" ht="13.5" customHeight="1"/>
  </sheetData>
  <sheetProtection algorithmName="SHA-512" hashValue="KXZmvVGp8mvS8rHKErPDWqiSCpk27ST2xzlRKZ04KnsTplEqxi2xk+wEhM3F7e3fiuD2+yqCeBh3QVphN3Aixw==" saltValue="z/8wlO6XJYrS7dCw/s2aYg==" spinCount="100000" sheet="1" objects="1" scenarios="1" selectLockedCells="1"/>
  <mergeCells count="283">
    <mergeCell ref="AF46:AL51"/>
    <mergeCell ref="J64:S64"/>
    <mergeCell ref="J65:S65"/>
    <mergeCell ref="W60:AA60"/>
    <mergeCell ref="T64:V64"/>
    <mergeCell ref="A1:AI1"/>
    <mergeCell ref="T19:AK19"/>
    <mergeCell ref="P24:R24"/>
    <mergeCell ref="I24:O24"/>
    <mergeCell ref="T17:AM17"/>
    <mergeCell ref="T18:AM18"/>
    <mergeCell ref="T22:AM22"/>
    <mergeCell ref="T23:AM23"/>
    <mergeCell ref="T24:AM24"/>
    <mergeCell ref="I12:R12"/>
    <mergeCell ref="I23:R23"/>
    <mergeCell ref="I19:O19"/>
    <mergeCell ref="P19:R19"/>
    <mergeCell ref="I17:O17"/>
    <mergeCell ref="P17:R17"/>
    <mergeCell ref="I18:R18"/>
    <mergeCell ref="AF33:AJ33"/>
    <mergeCell ref="AF34:AJ34"/>
    <mergeCell ref="W42:AA42"/>
    <mergeCell ref="J63:S63"/>
    <mergeCell ref="E65:F65"/>
    <mergeCell ref="W65:AA65"/>
    <mergeCell ref="M47:P47"/>
    <mergeCell ref="T62:V62"/>
    <mergeCell ref="T55:V55"/>
    <mergeCell ref="T54:V54"/>
    <mergeCell ref="T53:V53"/>
    <mergeCell ref="T61:V61"/>
    <mergeCell ref="T60:V60"/>
    <mergeCell ref="T59:V59"/>
    <mergeCell ref="T58:V58"/>
    <mergeCell ref="W47:AA47"/>
    <mergeCell ref="J51:S51"/>
    <mergeCell ref="J52:S52"/>
    <mergeCell ref="J47:L47"/>
    <mergeCell ref="Q47:S47"/>
    <mergeCell ref="T47:V47"/>
    <mergeCell ref="W61:AA61"/>
    <mergeCell ref="W62:AA62"/>
    <mergeCell ref="J59:S59"/>
    <mergeCell ref="J60:S60"/>
    <mergeCell ref="W63:AA63"/>
    <mergeCell ref="W59:AA59"/>
    <mergeCell ref="W58:AA58"/>
    <mergeCell ref="E58:F58"/>
    <mergeCell ref="B67:C67"/>
    <mergeCell ref="T51:V51"/>
    <mergeCell ref="T52:V52"/>
    <mergeCell ref="AF52:AJ52"/>
    <mergeCell ref="AF65:AJ65"/>
    <mergeCell ref="AF59:AJ59"/>
    <mergeCell ref="AF60:AJ60"/>
    <mergeCell ref="AF61:AJ61"/>
    <mergeCell ref="AF62:AJ62"/>
    <mergeCell ref="AF63:AJ63"/>
    <mergeCell ref="AF64:AJ64"/>
    <mergeCell ref="B51:D65"/>
    <mergeCell ref="T57:V57"/>
    <mergeCell ref="T56:V56"/>
    <mergeCell ref="J61:S61"/>
    <mergeCell ref="T65:V65"/>
    <mergeCell ref="W55:AA55"/>
    <mergeCell ref="W56:AA56"/>
    <mergeCell ref="W57:AA57"/>
    <mergeCell ref="W64:AA64"/>
    <mergeCell ref="T63:V63"/>
    <mergeCell ref="J62:S62"/>
    <mergeCell ref="W51:AA51"/>
    <mergeCell ref="W52:AA52"/>
    <mergeCell ref="W53:AA53"/>
    <mergeCell ref="W54:AA54"/>
    <mergeCell ref="G65:I65"/>
    <mergeCell ref="E64:F64"/>
    <mergeCell ref="G55:I55"/>
    <mergeCell ref="G56:I56"/>
    <mergeCell ref="G57:I57"/>
    <mergeCell ref="G58:I58"/>
    <mergeCell ref="G59:I59"/>
    <mergeCell ref="G60:I60"/>
    <mergeCell ref="G61:I61"/>
    <mergeCell ref="G53:I53"/>
    <mergeCell ref="E63:F63"/>
    <mergeCell ref="G62:I62"/>
    <mergeCell ref="G63:I63"/>
    <mergeCell ref="G64:I64"/>
    <mergeCell ref="E56:F56"/>
    <mergeCell ref="E57:F57"/>
    <mergeCell ref="E59:F59"/>
    <mergeCell ref="E60:F60"/>
    <mergeCell ref="E61:F61"/>
    <mergeCell ref="E62:F62"/>
    <mergeCell ref="E39:F39"/>
    <mergeCell ref="Q36:S36"/>
    <mergeCell ref="M36:P36"/>
    <mergeCell ref="J44:L44"/>
    <mergeCell ref="AF55:AJ55"/>
    <mergeCell ref="AF57:AJ57"/>
    <mergeCell ref="AF58:AJ58"/>
    <mergeCell ref="E47:F47"/>
    <mergeCell ref="J57:S57"/>
    <mergeCell ref="J58:S58"/>
    <mergeCell ref="J54:S54"/>
    <mergeCell ref="J55:S55"/>
    <mergeCell ref="J56:S56"/>
    <mergeCell ref="J53:S53"/>
    <mergeCell ref="AF56:AJ56"/>
    <mergeCell ref="AF53:AJ53"/>
    <mergeCell ref="AF54:AJ54"/>
    <mergeCell ref="E53:F53"/>
    <mergeCell ref="E54:F54"/>
    <mergeCell ref="E55:F55"/>
    <mergeCell ref="G54:I54"/>
    <mergeCell ref="E51:F52"/>
    <mergeCell ref="G51:I52"/>
    <mergeCell ref="G47:I47"/>
    <mergeCell ref="W43:AA43"/>
    <mergeCell ref="W44:AA44"/>
    <mergeCell ref="W45:AA45"/>
    <mergeCell ref="W46:AA46"/>
    <mergeCell ref="W36:AA36"/>
    <mergeCell ref="W37:AA37"/>
    <mergeCell ref="T37:V37"/>
    <mergeCell ref="T36:V36"/>
    <mergeCell ref="G44:I44"/>
    <mergeCell ref="J40:L40"/>
    <mergeCell ref="G39:I39"/>
    <mergeCell ref="G40:I40"/>
    <mergeCell ref="Q38:S38"/>
    <mergeCell ref="J46:L46"/>
    <mergeCell ref="G43:I43"/>
    <mergeCell ref="G38:I38"/>
    <mergeCell ref="J37:L37"/>
    <mergeCell ref="J39:L39"/>
    <mergeCell ref="J38:L38"/>
    <mergeCell ref="G36:I36"/>
    <mergeCell ref="G37:I37"/>
    <mergeCell ref="J41:L41"/>
    <mergeCell ref="G41:I41"/>
    <mergeCell ref="M41:P41"/>
    <mergeCell ref="AF45:AJ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F42:AJ42"/>
    <mergeCell ref="AF43:AJ43"/>
    <mergeCell ref="M44:P44"/>
    <mergeCell ref="AF44:AJ44"/>
    <mergeCell ref="T41:V41"/>
    <mergeCell ref="AF41:AJ41"/>
    <mergeCell ref="Q41:S41"/>
    <mergeCell ref="T39:V39"/>
    <mergeCell ref="Q40:S40"/>
    <mergeCell ref="T40:V40"/>
    <mergeCell ref="M39:P39"/>
    <mergeCell ref="Q39:S39"/>
    <mergeCell ref="W41:AA41"/>
    <mergeCell ref="W40:AA40"/>
    <mergeCell ref="AB40:AE40"/>
    <mergeCell ref="AB41:AE41"/>
    <mergeCell ref="AF39:AJ39"/>
    <mergeCell ref="AB39:AE39"/>
    <mergeCell ref="W39:AA39"/>
    <mergeCell ref="AK35:AM35"/>
    <mergeCell ref="W34:AA34"/>
    <mergeCell ref="W35:AA35"/>
    <mergeCell ref="T35:V35"/>
    <mergeCell ref="M37:P37"/>
    <mergeCell ref="T38:V38"/>
    <mergeCell ref="M38:P38"/>
    <mergeCell ref="W38:AA38"/>
    <mergeCell ref="AF40:AJ40"/>
    <mergeCell ref="J36:L36"/>
    <mergeCell ref="AF35:AJ35"/>
    <mergeCell ref="AF36:AJ36"/>
    <mergeCell ref="AF37:AJ37"/>
    <mergeCell ref="AF38:AJ38"/>
    <mergeCell ref="AB33:AE33"/>
    <mergeCell ref="AB34:AE34"/>
    <mergeCell ref="AB35:AE35"/>
    <mergeCell ref="AB36:AE36"/>
    <mergeCell ref="AB37:AE37"/>
    <mergeCell ref="AB38:AE38"/>
    <mergeCell ref="E29:H29"/>
    <mergeCell ref="B27:H27"/>
    <mergeCell ref="B28:D30"/>
    <mergeCell ref="I30:O30"/>
    <mergeCell ref="B24:H24"/>
    <mergeCell ref="B22:H22"/>
    <mergeCell ref="B23:H23"/>
    <mergeCell ref="I22:R22"/>
    <mergeCell ref="W33:AA33"/>
    <mergeCell ref="Q33:S34"/>
    <mergeCell ref="T33:V33"/>
    <mergeCell ref="T34:V34"/>
    <mergeCell ref="M33:P33"/>
    <mergeCell ref="M34:P34"/>
    <mergeCell ref="T27:AM27"/>
    <mergeCell ref="T28:AM28"/>
    <mergeCell ref="T29:AM29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E43:F43"/>
    <mergeCell ref="E44:F44"/>
    <mergeCell ref="E45:F45"/>
    <mergeCell ref="E46:F46"/>
    <mergeCell ref="J33:L33"/>
    <mergeCell ref="E40:F40"/>
    <mergeCell ref="B12:H12"/>
    <mergeCell ref="B14:AM14"/>
    <mergeCell ref="T16:AM16"/>
    <mergeCell ref="B16:D17"/>
    <mergeCell ref="E33:F34"/>
    <mergeCell ref="J34:L34"/>
    <mergeCell ref="T30:AM30"/>
    <mergeCell ref="G42:I42"/>
    <mergeCell ref="G35:I35"/>
    <mergeCell ref="E42:F42"/>
    <mergeCell ref="P30:R30"/>
    <mergeCell ref="E41:F41"/>
    <mergeCell ref="M40:P40"/>
    <mergeCell ref="E36:F36"/>
    <mergeCell ref="E37:F37"/>
    <mergeCell ref="E38:F38"/>
    <mergeCell ref="E30:H30"/>
    <mergeCell ref="T12:AM12"/>
    <mergeCell ref="AB42:AE42"/>
    <mergeCell ref="AB43:AE43"/>
    <mergeCell ref="AB44:AE44"/>
    <mergeCell ref="AB45:AE45"/>
    <mergeCell ref="AB46:AE46"/>
    <mergeCell ref="AB47:AE47"/>
    <mergeCell ref="E16:H16"/>
    <mergeCell ref="I16:O16"/>
    <mergeCell ref="P16:R16"/>
    <mergeCell ref="M35:P35"/>
    <mergeCell ref="Q35:S35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</mergeCells>
  <phoneticPr fontId="1"/>
  <conditionalFormatting sqref="T35">
    <cfRule type="expression" dxfId="11" priority="21">
      <formula>#REF!="独自計算"</formula>
    </cfRule>
  </conditionalFormatting>
  <conditionalFormatting sqref="T36:T46">
    <cfRule type="expression" dxfId="10" priority="18">
      <formula>#REF!="独自計算"</formula>
    </cfRule>
  </conditionalFormatting>
  <conditionalFormatting sqref="AU18:AZ19 AQ18:AQ19">
    <cfRule type="expression" dxfId="9" priority="23">
      <formula>$I$30="その他"</formula>
    </cfRule>
  </conditionalFormatting>
  <conditionalFormatting sqref="I19:O19">
    <cfRule type="expression" dxfId="8" priority="12">
      <formula>$I$19="任意入力"</formula>
    </cfRule>
  </conditionalFormatting>
  <conditionalFormatting sqref="M35:P46">
    <cfRule type="expression" dxfId="7" priority="9">
      <formula>$I$22="その他"</formula>
    </cfRule>
  </conditionalFormatting>
  <conditionalFormatting sqref="I28:R30">
    <cfRule type="expression" dxfId="6" priority="8">
      <formula>$I$27="非該当"</formula>
    </cfRule>
  </conditionalFormatting>
  <conditionalFormatting sqref="B51:AA65">
    <cfRule type="expression" dxfId="5" priority="7">
      <formula>$I$27="非該当"</formula>
    </cfRule>
  </conditionalFormatting>
  <conditionalFormatting sqref="AB33:AE34">
    <cfRule type="expression" dxfId="4" priority="5">
      <formula>$I$18&lt;&gt;"プロパン（い号）"</formula>
    </cfRule>
  </conditionalFormatting>
  <conditionalFormatting sqref="AB35:AE47">
    <cfRule type="expression" dxfId="3" priority="4">
      <formula>$I$18&lt;&gt;"プロパン（い号）"</formula>
    </cfRule>
  </conditionalFormatting>
  <conditionalFormatting sqref="W35:AA35">
    <cfRule type="expression" dxfId="2" priority="3">
      <formula>$I$18="プロパン（い号）"</formula>
    </cfRule>
  </conditionalFormatting>
  <conditionalFormatting sqref="W36:AA46">
    <cfRule type="expression" dxfId="1" priority="2">
      <formula>$I$18="プロパン（い号）"</formula>
    </cfRule>
  </conditionalFormatting>
  <conditionalFormatting sqref="W47:AA47">
    <cfRule type="expression" dxfId="0" priority="1">
      <formula>$I$18="プロパン（い号）"</formula>
    </cfRule>
  </conditionalFormatting>
  <dataValidations count="3">
    <dataValidation type="list" allowBlank="1" showInputMessage="1" showErrorMessage="1" sqref="G35:G46 H36:I46 G53:G64 H54:I64 P36:P46" xr:uid="{00000000-0002-0000-0100-000000000000}">
      <formula1>"冷房,暖房"</formula1>
    </dataValidation>
    <dataValidation type="list" allowBlank="1" showInputMessage="1" showErrorMessage="1" sqref="I28:R28" xr:uid="{00000000-0002-0000-0100-000001000000}">
      <formula1>"有り,無し（一定速）"</formula1>
    </dataValidation>
    <dataValidation type="list" allowBlank="1" showInputMessage="1" showErrorMessage="1" sqref="I27" xr:uid="{00000000-0002-0000-0100-000002000000}">
      <formula1>"該当,非該当"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fitToWidth="0" orientation="portrait" cellComments="asDisplayed" r:id="rId1"/>
  <ignoredErrors>
    <ignoredError sqref="G35:I46 I27 M35:P46 I19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I18:R18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I25</xm:sqref>
        </x14:dataValidation>
        <x14:dataValidation type="list" allowBlank="1" showInputMessage="1" showErrorMessage="1" xr:uid="{00000000-0002-0000-0100-000006000000}">
          <x14:formula1>
            <xm:f>'&lt;吸収式&gt;マスタ'!$U$78:$U$79</xm:f>
          </x14:formula1>
          <xm:sqref>I23:R23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70" zoomScaleNormal="70" zoomScaleSheetLayoutView="85" workbookViewId="0"/>
  </sheetViews>
  <sheetFormatPr defaultRowHeight="13.2"/>
  <cols>
    <col min="1" max="1" width="4.77734375" customWidth="1"/>
    <col min="3" max="3" width="0.88671875" style="28" customWidth="1"/>
    <col min="4" max="4" width="23.6640625" style="28" customWidth="1"/>
    <col min="5" max="5" width="0.88671875" customWidth="1"/>
    <col min="6" max="6" width="17.44140625" bestFit="1" customWidth="1"/>
    <col min="7" max="7" width="11" bestFit="1" customWidth="1"/>
    <col min="8" max="8" width="7.44140625" bestFit="1" customWidth="1"/>
    <col min="9" max="9" width="14.33203125" bestFit="1" customWidth="1"/>
    <col min="10" max="10" width="5.21875" bestFit="1" customWidth="1"/>
    <col min="11" max="11" width="5.21875" style="28" bestFit="1" customWidth="1"/>
    <col min="12" max="12" width="5.44140625" style="28" bestFit="1" customWidth="1"/>
    <col min="13" max="13" width="13" style="28" bestFit="1" customWidth="1"/>
    <col min="14" max="14" width="1.21875" customWidth="1"/>
    <col min="15" max="15" width="17.21875" customWidth="1"/>
    <col min="16" max="17" width="9" customWidth="1"/>
    <col min="18" max="18" width="27.77734375" bestFit="1" customWidth="1"/>
    <col min="19" max="19" width="9" customWidth="1"/>
    <col min="20" max="20" width="0.88671875" customWidth="1"/>
    <col min="21" max="22" width="9" customWidth="1"/>
    <col min="23" max="23" width="0.77734375" customWidth="1"/>
    <col min="24" max="24" width="4.88671875" customWidth="1"/>
    <col min="25" max="25" width="11" bestFit="1" customWidth="1"/>
    <col min="26" max="26" width="9.109375" bestFit="1" customWidth="1"/>
    <col min="27" max="28" width="11.88671875" customWidth="1"/>
    <col min="29" max="29" width="11.88671875" style="28" customWidth="1"/>
    <col min="30" max="30" width="5.33203125" customWidth="1"/>
    <col min="31" max="31" width="10.77734375" customWidth="1"/>
    <col min="33" max="33" width="10" bestFit="1" customWidth="1"/>
    <col min="34" max="34" width="18.33203125" bestFit="1" customWidth="1"/>
    <col min="35" max="35" width="25.6640625" bestFit="1" customWidth="1"/>
    <col min="36" max="36" width="9" style="9"/>
    <col min="37" max="37" width="15.21875" bestFit="1" customWidth="1"/>
    <col min="38" max="38" width="14.33203125" bestFit="1" customWidth="1"/>
    <col min="39" max="39" width="9.77734375" customWidth="1"/>
    <col min="41" max="41" width="11" bestFit="1" customWidth="1"/>
    <col min="42" max="42" width="11.77734375" customWidth="1"/>
    <col min="43" max="43" width="1.44140625" customWidth="1"/>
  </cols>
  <sheetData>
    <row r="1" spans="2:42" ht="13.8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101</v>
      </c>
      <c r="F5" t="s">
        <v>11</v>
      </c>
      <c r="O5" t="s">
        <v>148</v>
      </c>
      <c r="U5" t="s">
        <v>65</v>
      </c>
      <c r="X5" t="s">
        <v>98</v>
      </c>
      <c r="AE5" t="s">
        <v>99</v>
      </c>
    </row>
    <row r="6" spans="2:42" ht="13.5" customHeight="1">
      <c r="B6" s="2" t="s">
        <v>3</v>
      </c>
      <c r="C6" s="32"/>
      <c r="D6" s="29" t="s">
        <v>162</v>
      </c>
      <c r="F6" s="31" t="s">
        <v>152</v>
      </c>
      <c r="G6" s="31" t="s">
        <v>68</v>
      </c>
      <c r="H6" s="31" t="s">
        <v>74</v>
      </c>
      <c r="I6" s="31" t="s">
        <v>151</v>
      </c>
      <c r="J6" s="31" t="s">
        <v>74</v>
      </c>
      <c r="K6" s="31" t="s">
        <v>95</v>
      </c>
      <c r="L6" s="31" t="s">
        <v>97</v>
      </c>
      <c r="M6" s="31" t="s">
        <v>154</v>
      </c>
      <c r="O6" s="10" t="s">
        <v>155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45"/>
      <c r="AE6" s="10"/>
      <c r="AF6" s="10"/>
      <c r="AG6" s="10"/>
      <c r="AH6" s="11"/>
      <c r="AI6" s="8"/>
      <c r="AJ6" s="403" t="s">
        <v>40</v>
      </c>
      <c r="AK6" s="408" t="s">
        <v>44</v>
      </c>
      <c r="AL6" s="409" t="s">
        <v>48</v>
      </c>
      <c r="AM6" s="405" t="s">
        <v>41</v>
      </c>
      <c r="AN6" s="406"/>
      <c r="AO6" s="407"/>
      <c r="AP6" s="411" t="s">
        <v>81</v>
      </c>
    </row>
    <row r="7" spans="2:42">
      <c r="B7" s="2" t="s">
        <v>4</v>
      </c>
      <c r="C7" s="32"/>
      <c r="D7" s="29" t="s">
        <v>142</v>
      </c>
      <c r="F7" s="29" t="s">
        <v>54</v>
      </c>
      <c r="G7" s="24">
        <v>10750</v>
      </c>
      <c r="H7" s="29" t="s">
        <v>122</v>
      </c>
      <c r="I7" s="30" t="s">
        <v>76</v>
      </c>
      <c r="J7" s="30" t="s">
        <v>83</v>
      </c>
      <c r="K7" s="30" t="s">
        <v>113</v>
      </c>
      <c r="L7" s="30"/>
      <c r="M7" s="30"/>
      <c r="O7" s="29" t="s">
        <v>145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6" t="s">
        <v>156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46"/>
      <c r="AE7" s="10" t="s">
        <v>12</v>
      </c>
      <c r="AF7" s="10" t="s">
        <v>7</v>
      </c>
      <c r="AG7" s="10" t="s">
        <v>45</v>
      </c>
      <c r="AH7" s="10" t="s">
        <v>120</v>
      </c>
      <c r="AI7" s="8" t="s">
        <v>15</v>
      </c>
      <c r="AJ7" s="404"/>
      <c r="AK7" s="404"/>
      <c r="AL7" s="410"/>
      <c r="AM7" s="10" t="s">
        <v>42</v>
      </c>
      <c r="AN7" s="10" t="s">
        <v>43</v>
      </c>
      <c r="AO7" s="14" t="s">
        <v>81</v>
      </c>
      <c r="AP7" s="411"/>
    </row>
    <row r="8" spans="2:42">
      <c r="B8" s="32" t="s">
        <v>208</v>
      </c>
      <c r="D8" s="29" t="s">
        <v>104</v>
      </c>
      <c r="F8" s="29" t="s">
        <v>69</v>
      </c>
      <c r="G8" s="24">
        <v>23889</v>
      </c>
      <c r="H8" s="29" t="s">
        <v>122</v>
      </c>
      <c r="I8" s="30" t="s">
        <v>153</v>
      </c>
      <c r="J8" s="30" t="s">
        <v>83</v>
      </c>
      <c r="K8" s="30" t="s">
        <v>113</v>
      </c>
      <c r="L8" s="30"/>
      <c r="M8" s="30"/>
      <c r="O8" s="29" t="s">
        <v>145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47" t="s">
        <v>206</v>
      </c>
      <c r="AE8" s="2">
        <v>1</v>
      </c>
      <c r="AF8" s="2" t="s">
        <v>5</v>
      </c>
      <c r="AG8" s="27" t="s">
        <v>46</v>
      </c>
      <c r="AH8" s="2" t="s">
        <v>118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140</v>
      </c>
      <c r="F9" s="29" t="s">
        <v>70</v>
      </c>
      <c r="G9" s="24">
        <v>15050</v>
      </c>
      <c r="H9" s="29" t="s">
        <v>122</v>
      </c>
      <c r="I9" s="30" t="s">
        <v>76</v>
      </c>
      <c r="J9" s="30" t="s">
        <v>84</v>
      </c>
      <c r="K9" s="30" t="s">
        <v>113</v>
      </c>
      <c r="L9" s="30"/>
      <c r="M9" s="30"/>
      <c r="O9" s="29" t="s">
        <v>145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38">
        <v>0.58899999999999997</v>
      </c>
      <c r="AC9" s="47" t="s">
        <v>206</v>
      </c>
      <c r="AE9" s="2">
        <v>1</v>
      </c>
      <c r="AF9" s="2" t="s">
        <v>5</v>
      </c>
      <c r="AG9" s="27" t="s">
        <v>46</v>
      </c>
      <c r="AH9" s="2" t="s">
        <v>121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139</v>
      </c>
      <c r="F10" s="29" t="s">
        <v>71</v>
      </c>
      <c r="G10" s="24">
        <v>5017</v>
      </c>
      <c r="H10" s="29" t="s">
        <v>122</v>
      </c>
      <c r="I10" s="30" t="s">
        <v>76</v>
      </c>
      <c r="J10" s="30" t="s">
        <v>84</v>
      </c>
      <c r="K10" s="30" t="s">
        <v>113</v>
      </c>
      <c r="L10" s="30"/>
      <c r="M10" s="30"/>
      <c r="O10" s="29" t="s">
        <v>147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47" t="s">
        <v>206</v>
      </c>
      <c r="AE10" s="2">
        <v>1</v>
      </c>
      <c r="AF10" s="2" t="s">
        <v>6</v>
      </c>
      <c r="AG10" s="27" t="s">
        <v>46</v>
      </c>
      <c r="AH10" s="2" t="s">
        <v>118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105</v>
      </c>
      <c r="F11" s="29" t="s">
        <v>164</v>
      </c>
      <c r="G11" s="24" t="s">
        <v>243</v>
      </c>
      <c r="H11" s="29" t="s">
        <v>122</v>
      </c>
      <c r="I11" s="30" t="s">
        <v>76</v>
      </c>
      <c r="J11" s="30" t="s">
        <v>84</v>
      </c>
      <c r="K11" s="30" t="s">
        <v>113</v>
      </c>
      <c r="L11" s="30"/>
      <c r="M11" s="30"/>
      <c r="O11" s="29" t="s">
        <v>147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38">
        <v>0.57399999999999995</v>
      </c>
      <c r="AC11" s="47" t="s">
        <v>206</v>
      </c>
      <c r="AE11" s="2">
        <v>1</v>
      </c>
      <c r="AF11" s="2" t="s">
        <v>6</v>
      </c>
      <c r="AG11" s="27" t="s">
        <v>46</v>
      </c>
      <c r="AH11" s="2" t="s">
        <v>121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1" t="s">
        <v>143</v>
      </c>
      <c r="F12" s="30" t="s">
        <v>72</v>
      </c>
      <c r="G12" s="25">
        <v>10800</v>
      </c>
      <c r="H12" s="29" t="s">
        <v>80</v>
      </c>
      <c r="I12" s="30" t="s">
        <v>77</v>
      </c>
      <c r="J12" s="30" t="s">
        <v>85</v>
      </c>
      <c r="K12" s="30" t="s">
        <v>96</v>
      </c>
      <c r="L12" s="30">
        <v>0.86</v>
      </c>
      <c r="M12" s="30">
        <v>39.1</v>
      </c>
      <c r="O12" s="29" t="s">
        <v>138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38">
        <v>0.27300000000000002</v>
      </c>
      <c r="AC12" s="47" t="s">
        <v>206</v>
      </c>
      <c r="AE12" s="2">
        <v>1</v>
      </c>
      <c r="AF12" s="2" t="s">
        <v>5</v>
      </c>
      <c r="AG12" s="15" t="s">
        <v>0</v>
      </c>
      <c r="AH12" s="2" t="s">
        <v>118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2" t="s">
        <v>144</v>
      </c>
      <c r="F13" s="30" t="s">
        <v>73</v>
      </c>
      <c r="G13" s="25">
        <v>11108</v>
      </c>
      <c r="H13" s="29" t="s">
        <v>80</v>
      </c>
      <c r="I13" s="30" t="s">
        <v>77</v>
      </c>
      <c r="J13" s="30" t="s">
        <v>85</v>
      </c>
      <c r="K13" s="30" t="s">
        <v>96</v>
      </c>
      <c r="L13" s="30">
        <v>0.8</v>
      </c>
      <c r="M13" s="30">
        <v>36.700000000000003</v>
      </c>
      <c r="O13" s="29" t="s">
        <v>146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47" t="s">
        <v>206</v>
      </c>
      <c r="AE13" s="2">
        <v>1</v>
      </c>
      <c r="AF13" s="2" t="s">
        <v>5</v>
      </c>
      <c r="AG13" s="15" t="s">
        <v>0</v>
      </c>
      <c r="AH13" s="2" t="s">
        <v>121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2" t="s">
        <v>103</v>
      </c>
      <c r="F14" s="30" t="s">
        <v>86</v>
      </c>
      <c r="G14" s="29"/>
      <c r="H14" s="29"/>
      <c r="I14" s="30" t="s">
        <v>150</v>
      </c>
      <c r="J14" s="30" t="s">
        <v>85</v>
      </c>
      <c r="K14" s="30" t="s">
        <v>96</v>
      </c>
      <c r="L14" s="30"/>
      <c r="M14" s="30"/>
      <c r="N14" s="4"/>
      <c r="O14" s="29" t="s">
        <v>146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47" t="s">
        <v>206</v>
      </c>
      <c r="AE14" s="2">
        <v>1</v>
      </c>
      <c r="AF14" s="2" t="s">
        <v>6</v>
      </c>
      <c r="AG14" s="15" t="s">
        <v>0</v>
      </c>
      <c r="AH14" s="2" t="s">
        <v>118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146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47" t="s">
        <v>206</v>
      </c>
      <c r="AE15" s="2">
        <v>1</v>
      </c>
      <c r="AF15" s="2" t="s">
        <v>6</v>
      </c>
      <c r="AG15" s="15" t="s">
        <v>0</v>
      </c>
      <c r="AH15" s="2" t="s">
        <v>121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139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47" t="s">
        <v>207</v>
      </c>
      <c r="AE16" s="1">
        <v>2</v>
      </c>
      <c r="AF16" s="2" t="s">
        <v>5</v>
      </c>
      <c r="AG16" s="27" t="s">
        <v>46</v>
      </c>
      <c r="AH16" s="2" t="s">
        <v>118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159</v>
      </c>
      <c r="G17" s="9"/>
      <c r="H17" s="9"/>
      <c r="O17" s="29" t="s">
        <v>139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38">
        <v>0.104</v>
      </c>
      <c r="AB17" s="26">
        <v>0</v>
      </c>
      <c r="AC17" s="47" t="s">
        <v>207</v>
      </c>
      <c r="AE17" s="1">
        <v>2</v>
      </c>
      <c r="AF17" s="2" t="s">
        <v>5</v>
      </c>
      <c r="AG17" s="27" t="s">
        <v>46</v>
      </c>
      <c r="AH17" s="2" t="s">
        <v>121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139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38">
        <v>0.435</v>
      </c>
      <c r="AB18" s="26">
        <v>0</v>
      </c>
      <c r="AC18" s="47" t="s">
        <v>207</v>
      </c>
      <c r="AE18" s="1">
        <v>2</v>
      </c>
      <c r="AF18" s="2" t="s">
        <v>6</v>
      </c>
      <c r="AG18" s="27" t="s">
        <v>46</v>
      </c>
      <c r="AH18" s="2" t="s">
        <v>118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38">
        <v>0.40200000000000002</v>
      </c>
      <c r="AB19" s="26">
        <v>0</v>
      </c>
      <c r="AC19" s="47" t="s">
        <v>207</v>
      </c>
      <c r="AE19" s="1">
        <v>2</v>
      </c>
      <c r="AF19" s="2" t="s">
        <v>6</v>
      </c>
      <c r="AG19" s="27" t="s">
        <v>46</v>
      </c>
      <c r="AH19" s="2" t="s">
        <v>121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9" t="s">
        <v>161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47" t="s">
        <v>207</v>
      </c>
      <c r="AE20" s="1">
        <v>2</v>
      </c>
      <c r="AF20" s="2" t="s">
        <v>5</v>
      </c>
      <c r="AG20" s="15" t="s">
        <v>0</v>
      </c>
      <c r="AH20" s="2" t="s">
        <v>118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40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38">
        <v>0.68600000000000005</v>
      </c>
      <c r="AB21" s="26">
        <v>0</v>
      </c>
      <c r="AC21" s="47" t="s">
        <v>207</v>
      </c>
      <c r="AE21" s="1">
        <v>2</v>
      </c>
      <c r="AF21" s="2" t="s">
        <v>5</v>
      </c>
      <c r="AG21" s="15" t="s">
        <v>0</v>
      </c>
      <c r="AH21" s="2" t="s">
        <v>121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102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38">
        <v>0.69299999999999995</v>
      </c>
      <c r="AB22" s="26">
        <v>0</v>
      </c>
      <c r="AC22" s="47" t="s">
        <v>207</v>
      </c>
      <c r="AE22" s="1">
        <v>2</v>
      </c>
      <c r="AF22" s="2" t="s">
        <v>6</v>
      </c>
      <c r="AG22" s="15" t="s">
        <v>0</v>
      </c>
      <c r="AH22" s="2" t="s">
        <v>118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160</v>
      </c>
      <c r="O23" s="29" t="s">
        <v>102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47" t="s">
        <v>207</v>
      </c>
      <c r="AE23" s="1">
        <v>2</v>
      </c>
      <c r="AF23" s="2" t="s">
        <v>6</v>
      </c>
      <c r="AG23" s="15" t="s">
        <v>0</v>
      </c>
      <c r="AH23" s="2" t="s">
        <v>121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102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47" t="s">
        <v>207</v>
      </c>
      <c r="AE24" s="1">
        <v>3</v>
      </c>
      <c r="AF24" s="2" t="s">
        <v>5</v>
      </c>
      <c r="AG24" s="27" t="s">
        <v>1</v>
      </c>
      <c r="AH24" s="2" t="s">
        <v>118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145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38">
        <v>0.50600000000000001</v>
      </c>
      <c r="AB25" s="26">
        <v>0</v>
      </c>
      <c r="AC25" s="47" t="s">
        <v>207</v>
      </c>
      <c r="AE25" s="1">
        <v>3</v>
      </c>
      <c r="AF25" s="2" t="s">
        <v>5</v>
      </c>
      <c r="AG25" s="27" t="s">
        <v>1</v>
      </c>
      <c r="AH25" s="2" t="s">
        <v>121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145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38">
        <v>0.36399999999999999</v>
      </c>
      <c r="AB26" s="26">
        <v>0</v>
      </c>
      <c r="AC26" s="47" t="s">
        <v>207</v>
      </c>
      <c r="AE26" s="1">
        <v>3</v>
      </c>
      <c r="AF26" s="2" t="s">
        <v>6</v>
      </c>
      <c r="AG26" s="27" t="s">
        <v>1</v>
      </c>
      <c r="AH26" s="2" t="s">
        <v>118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4" t="s">
        <v>174</v>
      </c>
      <c r="G27" s="44" t="s">
        <v>175</v>
      </c>
      <c r="H27" s="44" t="s">
        <v>240</v>
      </c>
      <c r="I27" s="30" t="s">
        <v>74</v>
      </c>
      <c r="O27" s="29" t="s">
        <v>145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38">
        <v>6.0999999999999999E-2</v>
      </c>
      <c r="AB27" s="26">
        <v>0</v>
      </c>
      <c r="AC27" s="47" t="s">
        <v>207</v>
      </c>
      <c r="AE27" s="1">
        <v>3</v>
      </c>
      <c r="AF27" s="2" t="s">
        <v>6</v>
      </c>
      <c r="AG27" s="27" t="s">
        <v>1</v>
      </c>
      <c r="AH27" s="2" t="s">
        <v>121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4" t="s">
        <v>54</v>
      </c>
      <c r="G28" s="44">
        <v>45</v>
      </c>
      <c r="H28" s="44">
        <v>1</v>
      </c>
      <c r="I28" s="44" t="s">
        <v>205</v>
      </c>
      <c r="O28" s="29" t="s">
        <v>138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38">
        <v>0.154</v>
      </c>
      <c r="AC28" s="47" t="s">
        <v>206</v>
      </c>
      <c r="AE28" s="1">
        <v>3</v>
      </c>
      <c r="AF28" s="2" t="s">
        <v>5</v>
      </c>
      <c r="AG28" s="15" t="s">
        <v>0</v>
      </c>
      <c r="AH28" s="2" t="s">
        <v>118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4" t="s">
        <v>69</v>
      </c>
      <c r="G29" s="44">
        <v>100</v>
      </c>
      <c r="H29" s="44">
        <v>1.99</v>
      </c>
      <c r="I29" s="44" t="s">
        <v>241</v>
      </c>
      <c r="O29" s="29" t="s">
        <v>138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47" t="s">
        <v>206</v>
      </c>
      <c r="AE29" s="1">
        <v>3</v>
      </c>
      <c r="AF29" s="2" t="s">
        <v>5</v>
      </c>
      <c r="AG29" s="15" t="s">
        <v>0</v>
      </c>
      <c r="AH29" s="2" t="s">
        <v>121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4" t="s">
        <v>71</v>
      </c>
      <c r="G30" s="44">
        <v>21</v>
      </c>
      <c r="H30" s="44">
        <v>1</v>
      </c>
      <c r="I30" s="44" t="s">
        <v>242</v>
      </c>
      <c r="O30" s="29" t="s">
        <v>138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47" t="s">
        <v>206</v>
      </c>
      <c r="AE30" s="1">
        <v>3</v>
      </c>
      <c r="AF30" s="2" t="s">
        <v>6</v>
      </c>
      <c r="AG30" s="15" t="s">
        <v>0</v>
      </c>
      <c r="AH30" s="2" t="s">
        <v>118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4" t="s">
        <v>164</v>
      </c>
      <c r="G31" s="24" t="s">
        <v>243</v>
      </c>
      <c r="H31" s="44">
        <v>1</v>
      </c>
      <c r="I31" s="44" t="s">
        <v>242</v>
      </c>
      <c r="O31" s="29" t="s">
        <v>146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47" t="s">
        <v>206</v>
      </c>
      <c r="AE31" s="1">
        <v>3</v>
      </c>
      <c r="AF31" s="2" t="s">
        <v>6</v>
      </c>
      <c r="AG31" s="15" t="s">
        <v>0</v>
      </c>
      <c r="AH31" s="2" t="s">
        <v>121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4"/>
      <c r="G32" s="44"/>
      <c r="O32" s="29" t="s">
        <v>146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48">
        <v>1</v>
      </c>
      <c r="Y32" s="48" t="s">
        <v>208</v>
      </c>
      <c r="Z32" s="30" t="s">
        <v>209</v>
      </c>
      <c r="AA32" t="s">
        <v>221</v>
      </c>
      <c r="AB32" t="s">
        <v>221</v>
      </c>
      <c r="AC32" s="28" t="s">
        <v>221</v>
      </c>
      <c r="AE32" s="1">
        <v>4</v>
      </c>
      <c r="AF32" s="2" t="s">
        <v>5</v>
      </c>
      <c r="AG32" s="27" t="s">
        <v>1</v>
      </c>
      <c r="AH32" s="2" t="s">
        <v>118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146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48">
        <v>2</v>
      </c>
      <c r="Y33" s="48" t="s">
        <v>208</v>
      </c>
      <c r="Z33" s="30" t="s">
        <v>210</v>
      </c>
      <c r="AA33" s="37" t="s">
        <v>221</v>
      </c>
      <c r="AB33" s="37" t="s">
        <v>221</v>
      </c>
      <c r="AC33" s="37" t="s">
        <v>221</v>
      </c>
      <c r="AE33" s="1">
        <v>4</v>
      </c>
      <c r="AF33" s="2" t="s">
        <v>5</v>
      </c>
      <c r="AG33" s="27" t="s">
        <v>1</v>
      </c>
      <c r="AH33" s="2" t="s">
        <v>121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139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48">
        <v>3</v>
      </c>
      <c r="Y34" s="48" t="s">
        <v>208</v>
      </c>
      <c r="Z34" s="30" t="s">
        <v>211</v>
      </c>
      <c r="AA34" s="37" t="s">
        <v>221</v>
      </c>
      <c r="AB34" s="37" t="s">
        <v>221</v>
      </c>
      <c r="AC34" s="37" t="s">
        <v>221</v>
      </c>
      <c r="AE34" s="1">
        <v>4</v>
      </c>
      <c r="AF34" s="2" t="s">
        <v>6</v>
      </c>
      <c r="AG34" s="27" t="s">
        <v>1</v>
      </c>
      <c r="AH34" s="2" t="s">
        <v>118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139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48">
        <v>4</v>
      </c>
      <c r="Y35" s="48" t="s">
        <v>208</v>
      </c>
      <c r="Z35" s="30" t="s">
        <v>212</v>
      </c>
      <c r="AA35" s="37" t="s">
        <v>221</v>
      </c>
      <c r="AB35" s="37" t="s">
        <v>221</v>
      </c>
      <c r="AC35" s="37" t="s">
        <v>221</v>
      </c>
      <c r="AE35" s="1">
        <v>4</v>
      </c>
      <c r="AF35" s="2" t="s">
        <v>6</v>
      </c>
      <c r="AG35" s="27" t="s">
        <v>1</v>
      </c>
      <c r="AH35" s="2" t="s">
        <v>121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139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48">
        <v>5</v>
      </c>
      <c r="Y36" s="48" t="s">
        <v>208</v>
      </c>
      <c r="Z36" s="30" t="s">
        <v>213</v>
      </c>
      <c r="AA36" s="37" t="s">
        <v>221</v>
      </c>
      <c r="AB36" s="37" t="s">
        <v>221</v>
      </c>
      <c r="AC36" s="37" t="s">
        <v>221</v>
      </c>
      <c r="AE36" s="1">
        <v>4</v>
      </c>
      <c r="AF36" s="2" t="s">
        <v>5</v>
      </c>
      <c r="AG36" s="15" t="s">
        <v>0</v>
      </c>
      <c r="AH36" s="2" t="s">
        <v>118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102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48">
        <v>6</v>
      </c>
      <c r="Y37" s="48" t="s">
        <v>208</v>
      </c>
      <c r="Z37" s="30" t="s">
        <v>214</v>
      </c>
      <c r="AA37" s="37" t="s">
        <v>221</v>
      </c>
      <c r="AB37" s="37" t="s">
        <v>221</v>
      </c>
      <c r="AC37" s="37" t="s">
        <v>221</v>
      </c>
      <c r="AE37" s="1">
        <v>4</v>
      </c>
      <c r="AF37" s="2" t="s">
        <v>5</v>
      </c>
      <c r="AG37" s="15" t="s">
        <v>0</v>
      </c>
      <c r="AH37" s="2" t="s">
        <v>121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102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48">
        <v>7</v>
      </c>
      <c r="Y38" s="48" t="s">
        <v>208</v>
      </c>
      <c r="Z38" s="30" t="s">
        <v>215</v>
      </c>
      <c r="AA38" s="37" t="s">
        <v>221</v>
      </c>
      <c r="AB38" s="37" t="s">
        <v>221</v>
      </c>
      <c r="AC38" s="37" t="s">
        <v>221</v>
      </c>
      <c r="AE38" s="1">
        <v>4</v>
      </c>
      <c r="AF38" s="2" t="s">
        <v>6</v>
      </c>
      <c r="AG38" s="15" t="s">
        <v>0</v>
      </c>
      <c r="AH38" s="2" t="s">
        <v>118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102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48">
        <v>8</v>
      </c>
      <c r="Y39" s="48" t="s">
        <v>208</v>
      </c>
      <c r="Z39" s="30" t="s">
        <v>216</v>
      </c>
      <c r="AA39" s="37" t="s">
        <v>221</v>
      </c>
      <c r="AB39" s="37" t="s">
        <v>221</v>
      </c>
      <c r="AC39" s="37" t="s">
        <v>221</v>
      </c>
      <c r="AE39" s="1">
        <v>4</v>
      </c>
      <c r="AF39" s="2" t="s">
        <v>6</v>
      </c>
      <c r="AG39" s="15" t="s">
        <v>0</v>
      </c>
      <c r="AH39" s="2" t="s">
        <v>121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48">
        <v>9</v>
      </c>
      <c r="Y40" s="48" t="s">
        <v>208</v>
      </c>
      <c r="Z40" s="30" t="s">
        <v>217</v>
      </c>
      <c r="AA40" s="37" t="s">
        <v>221</v>
      </c>
      <c r="AB40" s="37" t="s">
        <v>221</v>
      </c>
      <c r="AC40" s="37" t="s">
        <v>221</v>
      </c>
      <c r="AE40" s="1">
        <v>5</v>
      </c>
      <c r="AF40" s="2" t="s">
        <v>5</v>
      </c>
      <c r="AG40" s="27" t="s">
        <v>1</v>
      </c>
      <c r="AH40" s="2" t="s">
        <v>118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48">
        <v>10</v>
      </c>
      <c r="Y41" s="48" t="s">
        <v>208</v>
      </c>
      <c r="Z41" s="30" t="s">
        <v>218</v>
      </c>
      <c r="AA41" s="37" t="s">
        <v>221</v>
      </c>
      <c r="AB41" s="37" t="s">
        <v>221</v>
      </c>
      <c r="AC41" s="37" t="s">
        <v>221</v>
      </c>
      <c r="AE41" s="1">
        <v>5</v>
      </c>
      <c r="AF41" s="2" t="s">
        <v>5</v>
      </c>
      <c r="AG41" s="27" t="s">
        <v>1</v>
      </c>
      <c r="AH41" s="2" t="s">
        <v>121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48">
        <v>11</v>
      </c>
      <c r="Y42" s="48" t="s">
        <v>208</v>
      </c>
      <c r="Z42" s="30" t="s">
        <v>219</v>
      </c>
      <c r="AA42" s="37" t="s">
        <v>221</v>
      </c>
      <c r="AB42" s="37" t="s">
        <v>221</v>
      </c>
      <c r="AC42" s="37" t="s">
        <v>221</v>
      </c>
      <c r="AE42" s="1">
        <v>5</v>
      </c>
      <c r="AF42" s="2" t="s">
        <v>6</v>
      </c>
      <c r="AG42" s="27" t="s">
        <v>1</v>
      </c>
      <c r="AH42" s="2" t="s">
        <v>118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48">
        <v>12</v>
      </c>
      <c r="Y43" s="48" t="s">
        <v>208</v>
      </c>
      <c r="Z43" s="30" t="s">
        <v>220</v>
      </c>
      <c r="AA43" s="37" t="s">
        <v>221</v>
      </c>
      <c r="AB43" s="37" t="s">
        <v>221</v>
      </c>
      <c r="AC43" s="37" t="s">
        <v>221</v>
      </c>
      <c r="AE43" s="1">
        <v>5</v>
      </c>
      <c r="AF43" s="2" t="s">
        <v>6</v>
      </c>
      <c r="AG43" s="27" t="s">
        <v>1</v>
      </c>
      <c r="AH43" s="2" t="s">
        <v>121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7"/>
      <c r="AB44" s="37"/>
      <c r="AC44" s="37"/>
      <c r="AE44" s="1">
        <v>5</v>
      </c>
      <c r="AF44" s="2" t="s">
        <v>5</v>
      </c>
      <c r="AG44" s="15" t="s">
        <v>0</v>
      </c>
      <c r="AH44" s="2" t="s">
        <v>118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7"/>
      <c r="AB45" s="37"/>
      <c r="AC45" s="37"/>
      <c r="AE45" s="1">
        <v>5</v>
      </c>
      <c r="AF45" s="2" t="s">
        <v>5</v>
      </c>
      <c r="AG45" s="15" t="s">
        <v>0</v>
      </c>
      <c r="AH45" s="2" t="s">
        <v>121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7"/>
      <c r="AB46" s="37"/>
      <c r="AC46" s="37"/>
      <c r="AE46" s="1">
        <v>5</v>
      </c>
      <c r="AF46" s="2" t="s">
        <v>6</v>
      </c>
      <c r="AG46" s="15" t="s">
        <v>0</v>
      </c>
      <c r="AH46" s="2" t="s">
        <v>118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7"/>
      <c r="AB47" s="37"/>
      <c r="AC47" s="37"/>
      <c r="AE47" s="1">
        <v>5</v>
      </c>
      <c r="AF47" s="2" t="s">
        <v>6</v>
      </c>
      <c r="AG47" s="15" t="s">
        <v>0</v>
      </c>
      <c r="AH47" s="2" t="s">
        <v>121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7"/>
      <c r="AB48" s="37"/>
      <c r="AC48" s="37"/>
      <c r="AE48" s="1">
        <v>6</v>
      </c>
      <c r="AF48" s="2" t="s">
        <v>5</v>
      </c>
      <c r="AG48" s="27" t="s">
        <v>1</v>
      </c>
      <c r="AH48" s="2" t="s">
        <v>118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7"/>
      <c r="AB49" s="37"/>
      <c r="AC49" s="37"/>
      <c r="AE49" s="1">
        <v>6</v>
      </c>
      <c r="AF49" s="2" t="s">
        <v>5</v>
      </c>
      <c r="AG49" s="27" t="s">
        <v>1</v>
      </c>
      <c r="AH49" s="2" t="s">
        <v>121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7"/>
      <c r="AB50" s="37"/>
      <c r="AC50" s="37"/>
      <c r="AE50" s="1">
        <v>6</v>
      </c>
      <c r="AF50" s="2" t="s">
        <v>6</v>
      </c>
      <c r="AG50" s="27" t="s">
        <v>1</v>
      </c>
      <c r="AH50" s="2" t="s">
        <v>118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7"/>
      <c r="AB51" s="37"/>
      <c r="AC51" s="37"/>
      <c r="AE51" s="1">
        <v>6</v>
      </c>
      <c r="AF51" s="2" t="s">
        <v>6</v>
      </c>
      <c r="AG51" s="27" t="s">
        <v>1</v>
      </c>
      <c r="AH51" s="2" t="s">
        <v>121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7"/>
      <c r="AB52" s="37"/>
      <c r="AC52" s="37"/>
      <c r="AE52" s="1">
        <v>6</v>
      </c>
      <c r="AF52" s="2" t="s">
        <v>5</v>
      </c>
      <c r="AG52" s="15" t="s">
        <v>0</v>
      </c>
      <c r="AH52" s="2" t="s">
        <v>118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7"/>
      <c r="AB53" s="37"/>
      <c r="AC53" s="37"/>
      <c r="AE53" s="1">
        <v>6</v>
      </c>
      <c r="AF53" s="2" t="s">
        <v>5</v>
      </c>
      <c r="AG53" s="15" t="s">
        <v>0</v>
      </c>
      <c r="AH53" s="2" t="s">
        <v>121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7"/>
      <c r="AB54" s="37"/>
      <c r="AC54" s="37"/>
      <c r="AE54" s="1">
        <v>6</v>
      </c>
      <c r="AF54" s="2" t="s">
        <v>6</v>
      </c>
      <c r="AG54" s="15" t="s">
        <v>0</v>
      </c>
      <c r="AH54" s="2" t="s">
        <v>118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7"/>
      <c r="AB55" s="37"/>
      <c r="AC55" s="37"/>
      <c r="AE55" s="1">
        <v>6</v>
      </c>
      <c r="AF55" s="2" t="s">
        <v>6</v>
      </c>
      <c r="AG55" s="15" t="s">
        <v>0</v>
      </c>
      <c r="AH55" s="2" t="s">
        <v>121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7"/>
      <c r="AB56" s="37"/>
      <c r="AC56" s="37"/>
      <c r="AE56" s="2">
        <v>7</v>
      </c>
      <c r="AF56" s="2" t="s">
        <v>5</v>
      </c>
      <c r="AG56" s="27" t="s">
        <v>1</v>
      </c>
      <c r="AH56" s="2" t="s">
        <v>118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7"/>
      <c r="AB57" s="37"/>
      <c r="AC57" s="37"/>
      <c r="AE57" s="2">
        <v>7</v>
      </c>
      <c r="AF57" s="2" t="s">
        <v>5</v>
      </c>
      <c r="AG57" s="27" t="s">
        <v>1</v>
      </c>
      <c r="AH57" s="2" t="s">
        <v>121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7"/>
      <c r="AB58" s="37"/>
      <c r="AC58" s="37"/>
      <c r="AE58" s="2">
        <v>7</v>
      </c>
      <c r="AF58" s="2" t="s">
        <v>6</v>
      </c>
      <c r="AG58" s="27" t="s">
        <v>1</v>
      </c>
      <c r="AH58" s="2" t="s">
        <v>118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7"/>
      <c r="AB59" s="37"/>
      <c r="AC59" s="37"/>
      <c r="AE59" s="2">
        <v>7</v>
      </c>
      <c r="AF59" s="2" t="s">
        <v>6</v>
      </c>
      <c r="AG59" s="27" t="s">
        <v>1</v>
      </c>
      <c r="AH59" s="2" t="s">
        <v>121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7"/>
      <c r="AB60" s="37"/>
      <c r="AC60" s="37"/>
      <c r="AE60" s="2">
        <v>7</v>
      </c>
      <c r="AF60" s="2" t="s">
        <v>5</v>
      </c>
      <c r="AG60" s="15" t="s">
        <v>0</v>
      </c>
      <c r="AH60" s="2" t="s">
        <v>118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7"/>
      <c r="AB61" s="37"/>
      <c r="AC61" s="37"/>
      <c r="AE61" s="2">
        <v>7</v>
      </c>
      <c r="AF61" s="2" t="s">
        <v>5</v>
      </c>
      <c r="AG61" s="15" t="s">
        <v>0</v>
      </c>
      <c r="AH61" s="2" t="s">
        <v>121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7"/>
      <c r="AB62" s="37"/>
      <c r="AC62" s="37"/>
      <c r="AE62" s="2">
        <v>7</v>
      </c>
      <c r="AF62" s="2" t="s">
        <v>6</v>
      </c>
      <c r="AG62" s="15" t="s">
        <v>0</v>
      </c>
      <c r="AH62" s="2" t="s">
        <v>118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7"/>
      <c r="AB63" s="37"/>
      <c r="AC63" s="37"/>
      <c r="AE63" s="2">
        <v>7</v>
      </c>
      <c r="AF63" s="2" t="s">
        <v>6</v>
      </c>
      <c r="AG63" s="15" t="s">
        <v>0</v>
      </c>
      <c r="AH63" s="2" t="s">
        <v>121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118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121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118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121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118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121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118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121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118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121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43" t="s">
        <v>163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118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121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3" t="s">
        <v>236</v>
      </c>
      <c r="V76" s="21">
        <v>2010</v>
      </c>
      <c r="AE76" s="2">
        <v>9</v>
      </c>
      <c r="AF76" s="2" t="s">
        <v>5</v>
      </c>
      <c r="AG76" s="15" t="s">
        <v>0</v>
      </c>
      <c r="AH76" s="2" t="s">
        <v>118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3" t="s">
        <v>238</v>
      </c>
      <c r="V77" s="21">
        <v>2010</v>
      </c>
      <c r="AE77" s="2">
        <v>9</v>
      </c>
      <c r="AF77" s="2" t="s">
        <v>5</v>
      </c>
      <c r="AG77" s="15" t="s">
        <v>0</v>
      </c>
      <c r="AH77" s="2" t="s">
        <v>121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3" t="s">
        <v>250</v>
      </c>
      <c r="V78" s="21">
        <v>2010</v>
      </c>
      <c r="AE78" s="2">
        <v>9</v>
      </c>
      <c r="AF78" s="2" t="s">
        <v>6</v>
      </c>
      <c r="AG78" s="15" t="s">
        <v>0</v>
      </c>
      <c r="AH78" s="2" t="s">
        <v>118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U79" s="43" t="s">
        <v>251</v>
      </c>
      <c r="V79" s="21">
        <v>2010</v>
      </c>
      <c r="AE79" s="2">
        <v>9</v>
      </c>
      <c r="AF79" s="2" t="s">
        <v>6</v>
      </c>
      <c r="AG79" s="15" t="s">
        <v>0</v>
      </c>
      <c r="AH79" s="2" t="s">
        <v>121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118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121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118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121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118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121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118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121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118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121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118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121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118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121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118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121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118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121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118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121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118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121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118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121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44" t="s">
        <v>208</v>
      </c>
      <c r="AG104" s="27" t="s">
        <v>1</v>
      </c>
      <c r="AH104" s="30" t="s">
        <v>223</v>
      </c>
      <c r="AI104" s="30" t="str">
        <f t="shared" si="23"/>
        <v>1暖房その他既存設備</v>
      </c>
      <c r="AJ104" s="34">
        <f>既存設備!M44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44" t="s">
        <v>208</v>
      </c>
      <c r="AG105" s="27" t="s">
        <v>1</v>
      </c>
      <c r="AH105" s="30" t="s">
        <v>224</v>
      </c>
      <c r="AI105" s="30" t="str">
        <f t="shared" si="23"/>
        <v>1暖房その他導入予定設備</v>
      </c>
      <c r="AJ105" s="34">
        <f>導入予定設備!M44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44" t="s">
        <v>208</v>
      </c>
      <c r="AG106" s="27" t="s">
        <v>0</v>
      </c>
      <c r="AH106" s="30" t="s">
        <v>223</v>
      </c>
      <c r="AI106" s="30" t="str">
        <f t="shared" si="23"/>
        <v>1冷房その他既存設備</v>
      </c>
      <c r="AJ106" s="34">
        <f>既存設備!M44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44" t="s">
        <v>208</v>
      </c>
      <c r="AG107" s="27" t="s">
        <v>0</v>
      </c>
      <c r="AH107" s="30" t="s">
        <v>224</v>
      </c>
      <c r="AI107" s="30" t="str">
        <f t="shared" si="23"/>
        <v>1冷房その他導入予定設備</v>
      </c>
      <c r="AJ107" s="34">
        <f>導入予定設備!M44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44">
        <v>2</v>
      </c>
      <c r="AF108" s="44" t="s">
        <v>208</v>
      </c>
      <c r="AG108" s="27" t="s">
        <v>1</v>
      </c>
      <c r="AH108" s="30" t="s">
        <v>223</v>
      </c>
      <c r="AI108" s="30" t="str">
        <f t="shared" si="23"/>
        <v>2暖房その他既存設備</v>
      </c>
      <c r="AJ108" s="34">
        <f>既存設備!M45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44">
        <v>2</v>
      </c>
      <c r="AF109" s="44" t="s">
        <v>208</v>
      </c>
      <c r="AG109" s="27" t="s">
        <v>1</v>
      </c>
      <c r="AH109" s="30" t="s">
        <v>224</v>
      </c>
      <c r="AI109" s="30" t="str">
        <f t="shared" si="23"/>
        <v>2暖房その他導入予定設備</v>
      </c>
      <c r="AJ109" s="34">
        <f>導入予定設備!M45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44">
        <v>2</v>
      </c>
      <c r="AF110" s="44" t="s">
        <v>208</v>
      </c>
      <c r="AG110" s="27" t="s">
        <v>0</v>
      </c>
      <c r="AH110" s="30" t="s">
        <v>223</v>
      </c>
      <c r="AI110" s="30" t="str">
        <f t="shared" si="23"/>
        <v>2冷房その他既存設備</v>
      </c>
      <c r="AJ110" s="34">
        <f>既存設備!M45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44">
        <v>2</v>
      </c>
      <c r="AF111" s="44" t="s">
        <v>208</v>
      </c>
      <c r="AG111" s="27" t="s">
        <v>0</v>
      </c>
      <c r="AH111" s="30" t="s">
        <v>224</v>
      </c>
      <c r="AI111" s="30" t="str">
        <f t="shared" si="23"/>
        <v>2冷房その他導入予定設備</v>
      </c>
      <c r="AJ111" s="34">
        <f>導入予定設備!M45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44">
        <v>3</v>
      </c>
      <c r="AF112" s="44" t="s">
        <v>208</v>
      </c>
      <c r="AG112" s="27" t="s">
        <v>1</v>
      </c>
      <c r="AH112" s="30" t="s">
        <v>223</v>
      </c>
      <c r="AI112" s="30" t="str">
        <f t="shared" si="23"/>
        <v>3暖房その他既存設備</v>
      </c>
      <c r="AJ112" s="34">
        <f>既存設備!M46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44">
        <v>3</v>
      </c>
      <c r="AF113" s="44" t="s">
        <v>208</v>
      </c>
      <c r="AG113" s="27" t="s">
        <v>1</v>
      </c>
      <c r="AH113" s="30" t="s">
        <v>224</v>
      </c>
      <c r="AI113" s="30" t="str">
        <f t="shared" si="23"/>
        <v>3暖房その他導入予定設備</v>
      </c>
      <c r="AJ113" s="34">
        <f>導入予定設備!M46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44">
        <v>3</v>
      </c>
      <c r="AF114" s="44" t="s">
        <v>208</v>
      </c>
      <c r="AG114" s="27" t="s">
        <v>0</v>
      </c>
      <c r="AH114" s="30" t="s">
        <v>223</v>
      </c>
      <c r="AI114" s="30" t="str">
        <f t="shared" si="23"/>
        <v>3冷房その他既存設備</v>
      </c>
      <c r="AJ114" s="34">
        <f>既存設備!M46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44">
        <v>3</v>
      </c>
      <c r="AF115" s="44" t="s">
        <v>208</v>
      </c>
      <c r="AG115" s="27" t="s">
        <v>0</v>
      </c>
      <c r="AH115" s="30" t="s">
        <v>224</v>
      </c>
      <c r="AI115" s="30" t="str">
        <f t="shared" si="23"/>
        <v>3冷房その他導入予定設備</v>
      </c>
      <c r="AJ115" s="34">
        <f>導入予定設備!M46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44">
        <v>4</v>
      </c>
      <c r="AF116" s="44" t="s">
        <v>208</v>
      </c>
      <c r="AG116" s="27" t="s">
        <v>1</v>
      </c>
      <c r="AH116" s="30" t="s">
        <v>223</v>
      </c>
      <c r="AI116" s="30" t="str">
        <f t="shared" si="23"/>
        <v>4暖房その他既存設備</v>
      </c>
      <c r="AJ116" s="34">
        <f>既存設備!M35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44">
        <v>4</v>
      </c>
      <c r="AF117" s="44" t="s">
        <v>208</v>
      </c>
      <c r="AG117" s="27" t="s">
        <v>1</v>
      </c>
      <c r="AH117" s="30" t="s">
        <v>224</v>
      </c>
      <c r="AI117" s="30" t="str">
        <f t="shared" si="23"/>
        <v>4暖房その他導入予定設備</v>
      </c>
      <c r="AJ117" s="34">
        <f>導入予定設備!M35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44">
        <v>4</v>
      </c>
      <c r="AF118" s="44" t="s">
        <v>208</v>
      </c>
      <c r="AG118" s="27" t="s">
        <v>0</v>
      </c>
      <c r="AH118" s="30" t="s">
        <v>223</v>
      </c>
      <c r="AI118" s="30" t="str">
        <f t="shared" si="23"/>
        <v>4冷房その他既存設備</v>
      </c>
      <c r="AJ118" s="34">
        <f>既存設備!M35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44">
        <v>4</v>
      </c>
      <c r="AF119" s="44" t="s">
        <v>208</v>
      </c>
      <c r="AG119" s="27" t="s">
        <v>0</v>
      </c>
      <c r="AH119" s="30" t="s">
        <v>224</v>
      </c>
      <c r="AI119" s="30" t="str">
        <f t="shared" si="23"/>
        <v>4冷房その他導入予定設備</v>
      </c>
      <c r="AJ119" s="34">
        <f>導入予定設備!M35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44">
        <v>5</v>
      </c>
      <c r="AF120" s="44" t="s">
        <v>208</v>
      </c>
      <c r="AG120" s="27" t="s">
        <v>1</v>
      </c>
      <c r="AH120" s="30" t="s">
        <v>223</v>
      </c>
      <c r="AI120" s="30" t="str">
        <f t="shared" si="23"/>
        <v>5暖房その他既存設備</v>
      </c>
      <c r="AJ120" s="34">
        <f>既存設備!M36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44">
        <v>5</v>
      </c>
      <c r="AF121" s="44" t="s">
        <v>208</v>
      </c>
      <c r="AG121" s="27" t="s">
        <v>1</v>
      </c>
      <c r="AH121" s="30" t="s">
        <v>224</v>
      </c>
      <c r="AI121" s="30" t="str">
        <f t="shared" si="23"/>
        <v>5暖房その他導入予定設備</v>
      </c>
      <c r="AJ121" s="34">
        <f>導入予定設備!M36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44">
        <v>5</v>
      </c>
      <c r="AF122" s="44" t="s">
        <v>208</v>
      </c>
      <c r="AG122" s="27" t="s">
        <v>0</v>
      </c>
      <c r="AH122" s="30" t="s">
        <v>223</v>
      </c>
      <c r="AI122" s="30" t="str">
        <f t="shared" si="23"/>
        <v>5冷房その他既存設備</v>
      </c>
      <c r="AJ122" s="34">
        <f>既存設備!M36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44">
        <v>5</v>
      </c>
      <c r="AF123" s="44" t="s">
        <v>208</v>
      </c>
      <c r="AG123" s="27" t="s">
        <v>0</v>
      </c>
      <c r="AH123" s="30" t="s">
        <v>224</v>
      </c>
      <c r="AI123" s="30" t="str">
        <f t="shared" si="23"/>
        <v>5冷房その他導入予定設備</v>
      </c>
      <c r="AJ123" s="34">
        <f>導入予定設備!M36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44">
        <v>6</v>
      </c>
      <c r="AF124" s="44" t="s">
        <v>208</v>
      </c>
      <c r="AG124" s="27" t="s">
        <v>1</v>
      </c>
      <c r="AH124" s="30" t="s">
        <v>223</v>
      </c>
      <c r="AI124" s="30" t="str">
        <f t="shared" si="23"/>
        <v>6暖房その他既存設備</v>
      </c>
      <c r="AJ124" s="34">
        <f>既存設備!M37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44">
        <v>6</v>
      </c>
      <c r="AF125" s="44" t="s">
        <v>208</v>
      </c>
      <c r="AG125" s="27" t="s">
        <v>1</v>
      </c>
      <c r="AH125" s="30" t="s">
        <v>224</v>
      </c>
      <c r="AI125" s="30" t="str">
        <f t="shared" si="23"/>
        <v>6暖房その他導入予定設備</v>
      </c>
      <c r="AJ125" s="34">
        <f>導入予定設備!M37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44">
        <v>6</v>
      </c>
      <c r="AF126" s="44" t="s">
        <v>208</v>
      </c>
      <c r="AG126" s="27" t="s">
        <v>0</v>
      </c>
      <c r="AH126" s="30" t="s">
        <v>223</v>
      </c>
      <c r="AI126" s="30" t="str">
        <f t="shared" si="23"/>
        <v>6冷房その他既存設備</v>
      </c>
      <c r="AJ126" s="34">
        <f>既存設備!M37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44">
        <v>6</v>
      </c>
      <c r="AF127" s="44" t="s">
        <v>208</v>
      </c>
      <c r="AG127" s="27" t="s">
        <v>0</v>
      </c>
      <c r="AH127" s="30" t="s">
        <v>224</v>
      </c>
      <c r="AI127" s="30" t="str">
        <f t="shared" si="23"/>
        <v>6冷房その他導入予定設備</v>
      </c>
      <c r="AJ127" s="34">
        <f>導入予定設備!M37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44">
        <v>7</v>
      </c>
      <c r="AF128" s="44" t="s">
        <v>208</v>
      </c>
      <c r="AG128" s="27" t="s">
        <v>1</v>
      </c>
      <c r="AH128" s="30" t="s">
        <v>223</v>
      </c>
      <c r="AI128" s="30" t="str">
        <f t="shared" si="23"/>
        <v>7暖房その他既存設備</v>
      </c>
      <c r="AJ128" s="34">
        <f>既存設備!M38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44">
        <v>7</v>
      </c>
      <c r="AF129" s="44" t="s">
        <v>208</v>
      </c>
      <c r="AG129" s="27" t="s">
        <v>1</v>
      </c>
      <c r="AH129" s="30" t="s">
        <v>224</v>
      </c>
      <c r="AI129" s="30" t="str">
        <f t="shared" si="23"/>
        <v>7暖房その他導入予定設備</v>
      </c>
      <c r="AJ129" s="34">
        <f>導入予定設備!M38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44">
        <v>7</v>
      </c>
      <c r="AF130" s="44" t="s">
        <v>208</v>
      </c>
      <c r="AG130" s="27" t="s">
        <v>0</v>
      </c>
      <c r="AH130" s="30" t="s">
        <v>223</v>
      </c>
      <c r="AI130" s="30" t="str">
        <f t="shared" si="23"/>
        <v>7冷房その他既存設備</v>
      </c>
      <c r="AJ130" s="34">
        <f>既存設備!M38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44">
        <v>7</v>
      </c>
      <c r="AF131" s="44" t="s">
        <v>208</v>
      </c>
      <c r="AG131" s="27" t="s">
        <v>0</v>
      </c>
      <c r="AH131" s="30" t="s">
        <v>224</v>
      </c>
      <c r="AI131" s="30" t="str">
        <f t="shared" si="23"/>
        <v>7冷房その他導入予定設備</v>
      </c>
      <c r="AJ131" s="34">
        <f>導入予定設備!M38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44">
        <v>8</v>
      </c>
      <c r="AF132" s="44" t="s">
        <v>208</v>
      </c>
      <c r="AG132" s="27" t="s">
        <v>1</v>
      </c>
      <c r="AH132" s="30" t="s">
        <v>223</v>
      </c>
      <c r="AI132" s="30" t="str">
        <f t="shared" si="23"/>
        <v>8暖房その他既存設備</v>
      </c>
      <c r="AJ132" s="34">
        <f>既存設備!M39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44">
        <v>8</v>
      </c>
      <c r="AF133" s="44" t="s">
        <v>208</v>
      </c>
      <c r="AG133" s="27" t="s">
        <v>1</v>
      </c>
      <c r="AH133" s="30" t="s">
        <v>224</v>
      </c>
      <c r="AI133" s="30" t="str">
        <f t="shared" si="23"/>
        <v>8暖房その他導入予定設備</v>
      </c>
      <c r="AJ133" s="34">
        <f>導入予定設備!M39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44">
        <v>8</v>
      </c>
      <c r="AF134" s="44" t="s">
        <v>208</v>
      </c>
      <c r="AG134" s="27" t="s">
        <v>0</v>
      </c>
      <c r="AH134" s="30" t="s">
        <v>223</v>
      </c>
      <c r="AI134" s="30" t="str">
        <f t="shared" si="23"/>
        <v>8冷房その他既存設備</v>
      </c>
      <c r="AJ134" s="34">
        <f>既存設備!M39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44">
        <v>8</v>
      </c>
      <c r="AF135" s="44" t="s">
        <v>208</v>
      </c>
      <c r="AG135" s="27" t="s">
        <v>0</v>
      </c>
      <c r="AH135" s="30" t="s">
        <v>224</v>
      </c>
      <c r="AI135" s="30" t="str">
        <f t="shared" si="23"/>
        <v>8冷房その他導入予定設備</v>
      </c>
      <c r="AJ135" s="34">
        <f>導入予定設備!M39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44">
        <v>9</v>
      </c>
      <c r="AF136" s="44" t="s">
        <v>208</v>
      </c>
      <c r="AG136" s="27" t="s">
        <v>1</v>
      </c>
      <c r="AH136" s="30" t="s">
        <v>223</v>
      </c>
      <c r="AI136" s="30" t="str">
        <f t="shared" si="23"/>
        <v>9暖房その他既存設備</v>
      </c>
      <c r="AJ136" s="34">
        <f>既存設備!M40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44">
        <v>9</v>
      </c>
      <c r="AF137" s="44" t="s">
        <v>208</v>
      </c>
      <c r="AG137" s="27" t="s">
        <v>1</v>
      </c>
      <c r="AH137" s="30" t="s">
        <v>224</v>
      </c>
      <c r="AI137" s="30" t="str">
        <f t="shared" si="23"/>
        <v>9暖房その他導入予定設備</v>
      </c>
      <c r="AJ137" s="34">
        <f>導入予定設備!M40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44">
        <v>9</v>
      </c>
      <c r="AF138" s="44" t="s">
        <v>208</v>
      </c>
      <c r="AG138" s="27" t="s">
        <v>0</v>
      </c>
      <c r="AH138" s="30" t="s">
        <v>223</v>
      </c>
      <c r="AI138" s="30" t="str">
        <f t="shared" si="23"/>
        <v>9冷房その他既存設備</v>
      </c>
      <c r="AJ138" s="34">
        <f>既存設備!M40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44">
        <v>9</v>
      </c>
      <c r="AF139" s="44" t="s">
        <v>208</v>
      </c>
      <c r="AG139" s="27" t="s">
        <v>0</v>
      </c>
      <c r="AH139" s="30" t="s">
        <v>224</v>
      </c>
      <c r="AI139" s="30" t="str">
        <f t="shared" si="23"/>
        <v>9冷房その他導入予定設備</v>
      </c>
      <c r="AJ139" s="34">
        <f>導入予定設備!M40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44">
        <v>10</v>
      </c>
      <c r="AF140" s="44" t="s">
        <v>208</v>
      </c>
      <c r="AG140" s="27" t="s">
        <v>1</v>
      </c>
      <c r="AH140" s="30" t="s">
        <v>223</v>
      </c>
      <c r="AI140" s="30" t="str">
        <f t="shared" si="23"/>
        <v>10暖房その他既存設備</v>
      </c>
      <c r="AJ140" s="34">
        <f>既存設備!M41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44">
        <v>10</v>
      </c>
      <c r="AF141" s="44" t="s">
        <v>208</v>
      </c>
      <c r="AG141" s="27" t="s">
        <v>1</v>
      </c>
      <c r="AH141" s="30" t="s">
        <v>224</v>
      </c>
      <c r="AI141" s="30" t="str">
        <f t="shared" si="23"/>
        <v>10暖房その他導入予定設備</v>
      </c>
      <c r="AJ141" s="34">
        <f>導入予定設備!M41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44">
        <v>10</v>
      </c>
      <c r="AF142" s="44" t="s">
        <v>208</v>
      </c>
      <c r="AG142" s="27" t="s">
        <v>0</v>
      </c>
      <c r="AH142" s="30" t="s">
        <v>223</v>
      </c>
      <c r="AI142" s="30" t="str">
        <f t="shared" si="23"/>
        <v>10冷房その他既存設備</v>
      </c>
      <c r="AJ142" s="34">
        <f>既存設備!M41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44">
        <v>10</v>
      </c>
      <c r="AF143" s="44" t="s">
        <v>208</v>
      </c>
      <c r="AG143" s="27" t="s">
        <v>0</v>
      </c>
      <c r="AH143" s="30" t="s">
        <v>224</v>
      </c>
      <c r="AI143" s="30" t="str">
        <f t="shared" si="23"/>
        <v>10冷房その他導入予定設備</v>
      </c>
      <c r="AJ143" s="34">
        <f>導入予定設備!M41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44">
        <v>11</v>
      </c>
      <c r="AF144" s="44" t="s">
        <v>208</v>
      </c>
      <c r="AG144" s="27" t="s">
        <v>1</v>
      </c>
      <c r="AH144" s="30" t="s">
        <v>223</v>
      </c>
      <c r="AI144" s="30" t="str">
        <f t="shared" si="23"/>
        <v>11暖房その他既存設備</v>
      </c>
      <c r="AJ144" s="34">
        <f>既存設備!M42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44">
        <v>11</v>
      </c>
      <c r="AF145" s="44" t="s">
        <v>208</v>
      </c>
      <c r="AG145" s="27" t="s">
        <v>1</v>
      </c>
      <c r="AH145" s="30" t="s">
        <v>224</v>
      </c>
      <c r="AI145" s="30" t="str">
        <f t="shared" si="23"/>
        <v>11暖房その他導入予定設備</v>
      </c>
      <c r="AJ145" s="34">
        <f>導入予定設備!M42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44">
        <v>11</v>
      </c>
      <c r="AF146" s="44" t="s">
        <v>208</v>
      </c>
      <c r="AG146" s="27" t="s">
        <v>0</v>
      </c>
      <c r="AH146" s="30" t="s">
        <v>223</v>
      </c>
      <c r="AI146" s="30" t="str">
        <f t="shared" si="23"/>
        <v>11冷房その他既存設備</v>
      </c>
      <c r="AJ146" s="34">
        <f>既存設備!M42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44">
        <v>11</v>
      </c>
      <c r="AF147" s="44" t="s">
        <v>208</v>
      </c>
      <c r="AG147" s="27" t="s">
        <v>0</v>
      </c>
      <c r="AH147" s="30" t="s">
        <v>224</v>
      </c>
      <c r="AI147" s="30" t="str">
        <f t="shared" si="23"/>
        <v>11冷房その他導入予定設備</v>
      </c>
      <c r="AJ147" s="34">
        <f>導入予定設備!M42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44">
        <v>12</v>
      </c>
      <c r="AF148" s="44" t="s">
        <v>208</v>
      </c>
      <c r="AG148" s="27" t="s">
        <v>1</v>
      </c>
      <c r="AH148" s="30" t="s">
        <v>223</v>
      </c>
      <c r="AI148" s="30" t="str">
        <f t="shared" si="23"/>
        <v>12暖房その他既存設備</v>
      </c>
      <c r="AJ148" s="34">
        <f>既存設備!M43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44">
        <v>12</v>
      </c>
      <c r="AF149" s="44" t="s">
        <v>208</v>
      </c>
      <c r="AG149" s="27" t="s">
        <v>1</v>
      </c>
      <c r="AH149" s="30" t="s">
        <v>224</v>
      </c>
      <c r="AI149" s="30" t="str">
        <f t="shared" si="23"/>
        <v>12暖房その他導入予定設備</v>
      </c>
      <c r="AJ149" s="34">
        <f>導入予定設備!M43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44">
        <v>12</v>
      </c>
      <c r="AF150" s="44" t="s">
        <v>208</v>
      </c>
      <c r="AG150" s="27" t="s">
        <v>0</v>
      </c>
      <c r="AH150" s="30" t="s">
        <v>223</v>
      </c>
      <c r="AI150" s="30" t="str">
        <f t="shared" si="23"/>
        <v>12冷房その他既存設備</v>
      </c>
      <c r="AJ150" s="34">
        <f>既存設備!M43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44">
        <v>12</v>
      </c>
      <c r="AF151" s="44" t="s">
        <v>208</v>
      </c>
      <c r="AG151" s="27" t="s">
        <v>0</v>
      </c>
      <c r="AH151" s="30" t="s">
        <v>224</v>
      </c>
      <c r="AI151" s="30" t="str">
        <f t="shared" si="23"/>
        <v>12冷房その他導入予定設備</v>
      </c>
      <c r="AJ151" s="34">
        <f>導入予定設備!M43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2022-02-15T02:08:17Z</dcterms:modified>
</cp:coreProperties>
</file>